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10" windowHeight="10410" activeTab="1"/>
  </bookViews>
  <sheets>
    <sheet name="Statistics" sheetId="1" r:id="rId1"/>
    <sheet name="Updated Infographic" sheetId="3" r:id="rId2"/>
    <sheet name="Members as of 6-21-19" sheetId="4" r:id="rId3"/>
  </sheets>
  <calcPr calcId="162913"/>
</workbook>
</file>

<file path=xl/calcChain.xml><?xml version="1.0" encoding="utf-8"?>
<calcChain xmlns="http://schemas.openxmlformats.org/spreadsheetml/2006/main">
  <c r="H9" i="3" l="1"/>
  <c r="E9" i="3"/>
  <c r="I26" i="3"/>
  <c r="G22" i="3"/>
  <c r="B46" i="1"/>
  <c r="M26" i="1"/>
  <c r="M22" i="1"/>
  <c r="M27" i="1"/>
  <c r="M23" i="1"/>
  <c r="B45" i="1" l="1"/>
  <c r="L27" i="1"/>
  <c r="L23" i="1"/>
  <c r="L26" i="1"/>
  <c r="L22" i="1"/>
  <c r="B44" i="1" l="1"/>
  <c r="K27" i="1"/>
  <c r="K23" i="1"/>
  <c r="K26" i="1"/>
  <c r="K22" i="1"/>
  <c r="J23" i="1"/>
  <c r="B43" i="1" l="1"/>
  <c r="B42" i="1"/>
  <c r="B41" i="1"/>
  <c r="G23" i="1"/>
  <c r="G27" i="1"/>
  <c r="H3" i="1"/>
  <c r="H7" i="1"/>
  <c r="B40" i="1" l="1"/>
  <c r="G26" i="1" l="1"/>
  <c r="F7" i="1"/>
  <c r="G7" i="1"/>
  <c r="I7" i="1"/>
  <c r="J7" i="1"/>
  <c r="K7" i="1"/>
  <c r="L7" i="1"/>
  <c r="M7" i="1"/>
  <c r="E7" i="1"/>
  <c r="B39" i="1" l="1"/>
  <c r="B38" i="1"/>
  <c r="C27" i="1" l="1"/>
  <c r="D27" i="1"/>
  <c r="D23" i="1"/>
  <c r="B36" i="1" l="1"/>
  <c r="C23" i="1"/>
  <c r="C26" i="1"/>
  <c r="C22" i="1"/>
  <c r="B35" i="1" l="1"/>
  <c r="B26" i="1"/>
  <c r="B22" i="1"/>
  <c r="B27" i="1"/>
  <c r="B23" i="1"/>
  <c r="I14" i="1"/>
  <c r="J14" i="1"/>
  <c r="K14" i="1"/>
  <c r="L14" i="1"/>
  <c r="M14" i="1"/>
  <c r="N15" i="1" l="1"/>
  <c r="N14" i="1" s="1"/>
  <c r="H14" i="1" l="1"/>
  <c r="H16" i="1" s="1"/>
  <c r="G14" i="1"/>
  <c r="F14" i="1"/>
  <c r="E14" i="1"/>
  <c r="D14" i="1"/>
  <c r="C14" i="1"/>
  <c r="B14" i="1"/>
  <c r="M25" i="1"/>
  <c r="C22" i="3" s="1"/>
  <c r="L25" i="1"/>
  <c r="K25" i="1"/>
  <c r="J25" i="1"/>
  <c r="I25" i="1"/>
  <c r="H25" i="1"/>
  <c r="G25" i="1"/>
  <c r="F25" i="1"/>
  <c r="E25" i="1"/>
  <c r="D25" i="1"/>
  <c r="C25" i="1"/>
  <c r="B25" i="1"/>
  <c r="M21" i="1"/>
  <c r="C18" i="3" s="1"/>
  <c r="L21" i="1"/>
  <c r="K21" i="1"/>
  <c r="J21" i="1"/>
  <c r="I21" i="1"/>
  <c r="H21" i="1"/>
  <c r="G21" i="1"/>
  <c r="F21" i="1"/>
  <c r="E21" i="1"/>
  <c r="D21" i="1"/>
  <c r="C21" i="1"/>
  <c r="B21" i="1"/>
  <c r="N13" i="1"/>
  <c r="N12" i="1"/>
  <c r="N11" i="1"/>
  <c r="N10" i="1"/>
  <c r="N9" i="1"/>
  <c r="N8" i="1"/>
  <c r="D7" i="1"/>
  <c r="C7" i="1"/>
  <c r="B7" i="1"/>
  <c r="N7" i="1" s="1"/>
  <c r="N6" i="1"/>
  <c r="N5" i="1"/>
  <c r="N4" i="1"/>
  <c r="M3" i="1"/>
  <c r="L3" i="1"/>
  <c r="L16" i="1" s="1"/>
  <c r="K3" i="1"/>
  <c r="J3" i="1"/>
  <c r="J16" i="1" s="1"/>
  <c r="I3" i="1"/>
  <c r="I16" i="1" s="1"/>
  <c r="G3" i="1"/>
  <c r="F3" i="1"/>
  <c r="E3" i="1"/>
  <c r="D3" i="1"/>
  <c r="C3" i="1"/>
  <c r="B3" i="1"/>
  <c r="F16" i="1" l="1"/>
  <c r="E16" i="1"/>
  <c r="N3" i="1"/>
  <c r="N16" i="1" s="1"/>
  <c r="D16" i="1"/>
  <c r="M16" i="1"/>
  <c r="C16" i="1"/>
  <c r="K16" i="1"/>
  <c r="G16" i="1"/>
  <c r="B16" i="1"/>
  <c r="G18" i="3" l="1"/>
  <c r="E26" i="3" l="1"/>
</calcChain>
</file>

<file path=xl/sharedStrings.xml><?xml version="1.0" encoding="utf-8"?>
<sst xmlns="http://schemas.openxmlformats.org/spreadsheetml/2006/main" count="236" uniqueCount="218">
  <si>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</si>
  <si>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</si>
  <si>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</si>
  <si>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</si>
  <si>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</si>
  <si>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</si>
  <si>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</si>
  <si>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</si>
  <si>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</si>
  <si>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</si>
  <si>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</si>
  <si>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</si>
  <si>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AudioBooks</t>
  </si>
  <si>
    <t>MP3 Audiobook</t>
  </si>
  <si>
    <t>Total eBooks</t>
  </si>
  <si>
    <t>Adobe PDF</t>
  </si>
  <si>
    <t>Adobe EPUB</t>
  </si>
  <si>
    <t>Kindle Book</t>
  </si>
  <si>
    <t>Checkouts Grand Total</t>
  </si>
  <si>
    <t>counting each format of a title only once</t>
  </si>
  <si>
    <t>Audiobook</t>
  </si>
  <si>
    <t>eBook</t>
  </si>
  <si>
    <t>eBooks Checked Out but Never Downloaded</t>
  </si>
  <si>
    <t>Audiobooks Checked Out but Never Downloaded</t>
  </si>
  <si>
    <t>OverDrive Read</t>
  </si>
  <si>
    <t>OverDrive Listen</t>
  </si>
  <si>
    <t>MediaDo Reader</t>
  </si>
  <si>
    <t>Average Waiting Period (as of…)</t>
  </si>
  <si>
    <t>Holds by Format (as of…)</t>
  </si>
  <si>
    <t>All Holds Since Purchase (as of…)</t>
  </si>
  <si>
    <t>Audiobooks</t>
  </si>
  <si>
    <t>TOTAL TITLES</t>
  </si>
  <si>
    <t>TOTAL COPIES</t>
  </si>
  <si>
    <t>eBooks</t>
  </si>
  <si>
    <t>c i r c u l a t i o n s</t>
  </si>
  <si>
    <t>Wisconsin Schools Digital Library</t>
  </si>
  <si>
    <t>P A R T I C I P A T I O N</t>
  </si>
  <si>
    <t>Students</t>
  </si>
  <si>
    <t>Districts</t>
  </si>
  <si>
    <t>https://www.wils.org/wsdlc/</t>
  </si>
  <si>
    <t>h o l d s</t>
  </si>
  <si>
    <t>NUMBER of TITLES</t>
  </si>
  <si>
    <t>NUMBER of COPIES</t>
  </si>
  <si>
    <t>YTD CHECKOUTS</t>
  </si>
  <si>
    <t>CURRENT HOLDS</t>
  </si>
  <si>
    <t>Total Video</t>
  </si>
  <si>
    <t>Streaming Video</t>
  </si>
  <si>
    <t>Enrollment (as of…)</t>
  </si>
  <si>
    <t>Members</t>
  </si>
  <si>
    <t>Altoona School District</t>
  </si>
  <si>
    <t>Amery School District</t>
  </si>
  <si>
    <t>Antigo Unified School District</t>
  </si>
  <si>
    <t>Ashwaubenon School District</t>
  </si>
  <si>
    <t>Athens School District</t>
  </si>
  <si>
    <t>Beloit Turner School District</t>
  </si>
  <si>
    <t>Bloomer School District</t>
  </si>
  <si>
    <t>Bristol #1 School District</t>
  </si>
  <si>
    <t>Brown Deer School District</t>
  </si>
  <si>
    <t>Cadott Community School District</t>
  </si>
  <si>
    <t>Cambridge School District</t>
  </si>
  <si>
    <t>Chilton School District</t>
  </si>
  <si>
    <t>Chippewa Falls Area Unified School District</t>
  </si>
  <si>
    <t>Cochrane-Fountain City School District</t>
  </si>
  <si>
    <t>Colby School District</t>
  </si>
  <si>
    <t>Crandon School District</t>
  </si>
  <si>
    <t>Crivitz School District</t>
  </si>
  <si>
    <t>Dodgeville School District</t>
  </si>
  <si>
    <t>Drummond Area School District</t>
  </si>
  <si>
    <t>Evansville Community School District</t>
  </si>
  <si>
    <t>Fort Atkinson School District</t>
  </si>
  <si>
    <t>Frederic School District</t>
  </si>
  <si>
    <t>Genoa City J2 School District</t>
  </si>
  <si>
    <t>Gibraltar Area School District</t>
  </si>
  <si>
    <t>Grafton School District</t>
  </si>
  <si>
    <t>Grantsburg School District</t>
  </si>
  <si>
    <t>Greenwood School District</t>
  </si>
  <si>
    <t>Hayward Community School District</t>
  </si>
  <si>
    <t>Herman-Neosho-Rubicon School District</t>
  </si>
  <si>
    <t>Hilbert School District</t>
  </si>
  <si>
    <t>Holy Hill Area School District</t>
  </si>
  <si>
    <t>Howard-Suamico School District</t>
  </si>
  <si>
    <t>Howards Grove School District</t>
  </si>
  <si>
    <t>Ithaca School District</t>
  </si>
  <si>
    <t>Janesville School District</t>
  </si>
  <si>
    <t>Juda School District</t>
  </si>
  <si>
    <t>Kewaskum School District</t>
  </si>
  <si>
    <t>Lac du Flambeau #1 School District</t>
  </si>
  <si>
    <t>Lake Country School District</t>
  </si>
  <si>
    <t>Luxemburg-Casco School District</t>
  </si>
  <si>
    <t>Maple Dale-Indian Hill School District</t>
  </si>
  <si>
    <t>Marinette School District</t>
  </si>
  <si>
    <t>Marion School District</t>
  </si>
  <si>
    <t>Marshall School District</t>
  </si>
  <si>
    <t>Menasha Joint School District</t>
  </si>
  <si>
    <t>Mineral Point Unified School District</t>
  </si>
  <si>
    <t>Mosinee School District</t>
  </si>
  <si>
    <t>Neillsville School District</t>
  </si>
  <si>
    <t>North Lakeland School District</t>
  </si>
  <si>
    <t>Northland Pines School District</t>
  </si>
  <si>
    <t>Norwalk-Ontario-Wilton School District</t>
  </si>
  <si>
    <t>Oakfield School District</t>
  </si>
  <si>
    <t>Oconomowoc Area School District</t>
  </si>
  <si>
    <t>Omro School District</t>
  </si>
  <si>
    <t>Oregon School District</t>
  </si>
  <si>
    <t>Parkview School District</t>
  </si>
  <si>
    <t>Pecatonica Area School District</t>
  </si>
  <si>
    <t>Plymouth Joint School District</t>
  </si>
  <si>
    <t>Portage Community School District</t>
  </si>
  <si>
    <t>Rhinelander School District</t>
  </si>
  <si>
    <t>Rib Lake School District</t>
  </si>
  <si>
    <t>Richland School District</t>
  </si>
  <si>
    <t>River Falls School District</t>
  </si>
  <si>
    <t>Sauk Prairie School District</t>
  </si>
  <si>
    <t>Shorewood School District</t>
  </si>
  <si>
    <t>Solon Springs School District</t>
  </si>
  <si>
    <t>Spencer School District</t>
  </si>
  <si>
    <t>Stanley-Boyd Area School District</t>
  </si>
  <si>
    <t>Sturgeon Bay School District</t>
  </si>
  <si>
    <t>Thorp School District</t>
  </si>
  <si>
    <t>Tigerton School District</t>
  </si>
  <si>
    <t>Tomahawk School District</t>
  </si>
  <si>
    <t>Tomorrow River School District</t>
  </si>
  <si>
    <t>Unity School District</t>
  </si>
  <si>
    <t>Valders Area School District</t>
  </si>
  <si>
    <t>Wauwatosa School District</t>
  </si>
  <si>
    <t>West Bend School District</t>
  </si>
  <si>
    <t>Whitefish Bay School District</t>
  </si>
  <si>
    <t>Whitnall School District</t>
  </si>
  <si>
    <t>Yorkville J2 School District</t>
  </si>
  <si>
    <t>Ashland School District</t>
  </si>
  <si>
    <t>Campbellsport School District</t>
  </si>
  <si>
    <t>Dominican High School</t>
  </si>
  <si>
    <t>Fox Point-Bayside School District</t>
  </si>
  <si>
    <t>Indian Community School</t>
  </si>
  <si>
    <t>Kimberly Area School District</t>
  </si>
  <si>
    <t>Lodi School District</t>
  </si>
  <si>
    <t>McFarland School District</t>
  </si>
  <si>
    <t>Merrill Area School District</t>
  </si>
  <si>
    <t>Prairie School</t>
  </si>
  <si>
    <t>Waupaca School District</t>
  </si>
  <si>
    <t>West Salem School District</t>
  </si>
  <si>
    <t>Circulation Activity by Format by Month 2019 (includes circulation of titles and copies purchased outside of the Consortium by individual libraries and systems)</t>
  </si>
  <si>
    <t>Purchased Titles and Copies through 2019 (includes Consortium titles and copies only)</t>
  </si>
  <si>
    <t>Inception through January 31, 2019</t>
  </si>
  <si>
    <t>Inception through February 28, 2019</t>
  </si>
  <si>
    <t>Inception through March 31, 2019</t>
  </si>
  <si>
    <t>Inception through April 30, 2019</t>
  </si>
  <si>
    <t>Inception through May 31, 2019</t>
  </si>
  <si>
    <t>Inception through June 30, 2019</t>
  </si>
  <si>
    <t>Inception through July 31, 2019</t>
  </si>
  <si>
    <t>Inception through August 31, 2019</t>
  </si>
  <si>
    <t>Inception through September 30, 2019</t>
  </si>
  <si>
    <t>Inception through October 31, 2019</t>
  </si>
  <si>
    <t>Inception through November 30, 2019</t>
  </si>
  <si>
    <t>Inception through December 31, 2019</t>
  </si>
  <si>
    <t>Patrons with Checkouts 2019 (Unique/Month)</t>
  </si>
  <si>
    <t>Current</t>
  </si>
  <si>
    <t>Historical</t>
  </si>
  <si>
    <t>Circ through 2018</t>
  </si>
  <si>
    <t>2019 Year to Date Statistics</t>
  </si>
  <si>
    <t>2019 Total</t>
  </si>
  <si>
    <t>Alma Center-Humbird-Merrillan School District</t>
  </si>
  <si>
    <t>Augusta School District</t>
  </si>
  <si>
    <t>Baldwin-Woodville School District</t>
  </si>
  <si>
    <t>Berlin Area School District</t>
  </si>
  <si>
    <t>Cameron School District</t>
  </si>
  <si>
    <t>Coleman School District</t>
  </si>
  <si>
    <t>Deerfield Community School District</t>
  </si>
  <si>
    <t>Franklin School District</t>
  </si>
  <si>
    <t>Kaukauna Area School District</t>
  </si>
  <si>
    <t>Kenosha Unified School District</t>
  </si>
  <si>
    <t>Lake Geneva-Genoa City Union High School District</t>
  </si>
  <si>
    <t>Marathon City School District</t>
  </si>
  <si>
    <t>Mequon-Thiensville School District</t>
  </si>
  <si>
    <t>Nicolet Union High School District</t>
  </si>
  <si>
    <t>Northland Scholars Academy</t>
  </si>
  <si>
    <t>Oak Creek-Franklin Joint School District</t>
  </si>
  <si>
    <t>Oconto Falls School District</t>
  </si>
  <si>
    <t>Port Washington-Saukville School District</t>
  </si>
  <si>
    <t>Prairie du Chien Area School District</t>
  </si>
  <si>
    <t>Random Lake School District</t>
  </si>
  <si>
    <t>Shell Lake School District</t>
  </si>
  <si>
    <t>St Francis School District</t>
  </si>
  <si>
    <t>St. Augustine Preparatory Academy</t>
  </si>
  <si>
    <t>Stoughton Area School District</t>
  </si>
  <si>
    <t>Sun Prairie School District</t>
  </si>
  <si>
    <t>Trevor-Wilmot Consolidated School District</t>
  </si>
  <si>
    <t>Union Grove Union High School District</t>
  </si>
  <si>
    <t>Waterford Union High School District</t>
  </si>
  <si>
    <t>Wayland Academy</t>
  </si>
  <si>
    <t>Webster School District</t>
  </si>
  <si>
    <t>Wilmot Union High School District</t>
  </si>
  <si>
    <t>Wisconsin Department of Corrections</t>
  </si>
  <si>
    <t>Top 20 Titles With Holds</t>
  </si>
  <si>
    <t>Title</t>
  </si>
  <si>
    <t># Holds</t>
  </si>
  <si>
    <t>Wrecking Ball (Diary of a Wimpy Kid Book 14)</t>
  </si>
  <si>
    <t>Guts: Smile Series, Book 3</t>
  </si>
  <si>
    <t>Fetch-22: Dog Man Series, Book 8</t>
  </si>
  <si>
    <t>It</t>
  </si>
  <si>
    <t>Diary of a Wimpy Kid: Diary of a Wimpy Kid Series, Book 1 (unabridged)</t>
  </si>
  <si>
    <t>Boy-Crazy Stacey: Baby-Sitters Club Graphix Series, Book 7</t>
  </si>
  <si>
    <t>Drama</t>
  </si>
  <si>
    <t>FORTNITE (Official)--The Chronicle: All the Best Moments from Battle Royale</t>
  </si>
  <si>
    <t>Smile: Smile Series, Book 1</t>
  </si>
  <si>
    <t>Sisters: Smile Series, Book 2</t>
  </si>
  <si>
    <t>Karen's Witch: Baby-sitters Little Sister Graphic Novel Series, Book 1</t>
  </si>
  <si>
    <t>Front Desk</t>
  </si>
  <si>
    <t>Lost in the Library: A Story of Patience &amp; Fortitude</t>
  </si>
  <si>
    <t>Refugee</t>
  </si>
  <si>
    <t>One of Us Is Next: The Sequel to One of Us Is Lying</t>
  </si>
  <si>
    <t>One of Us Is Next: The Sequel to One of Us Is Lying (unabridged)</t>
  </si>
  <si>
    <t>Ninja: Get Good: My Ultimate Guide to Gaming</t>
  </si>
  <si>
    <t>Big Nate: Mr. Popularity</t>
  </si>
  <si>
    <t>Restart</t>
  </si>
  <si>
    <t>Guide to Survival</t>
  </si>
  <si>
    <t>December 2019</t>
  </si>
  <si>
    <t>A S  O F  1 / 2 / 2 0 2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</si>
</sst>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Georgia"/>
      <family val="1"/>
    </font>
    <font>
      <sz val="36"/>
      <color theme="1"/>
      <name val="Georgia"/>
      <family val="1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Georgia"/>
      <family val="1"/>
    </font>
    <font>
      <b/>
      <sz val="28"/>
      <color theme="1"/>
      <name val="Calibri"/>
      <family val="2"/>
      <scheme val="minor"/>
    </font>
    <font>
      <sz val="24"/>
      <color theme="1"/>
      <name val="Georgia"/>
      <family val="1"/>
    </font>
    <font>
      <sz val="14"/>
      <color theme="1"/>
      <name val="Georgia"/>
      <family val="1"/>
    </font>
    <font>
      <u/>
      <sz val="15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20"/>
      <color theme="1"/>
      <name val="Georg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733"/>
        <bgColor indexed="64"/>
      </patternFill>
    </fill>
    <fill>
      <patternFill patternType="solid">
        <fgColor rgb="FF9ECDE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4" xfId="0" applyFont="1" applyBorder="1"/>
    <xf numFmtId="0" fontId="1" fillId="0" borderId="0" xfId="0" applyFont="1"/>
    <xf numFmtId="3" fontId="1" fillId="0" borderId="0" xfId="0" applyNumberFormat="1" applyFont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/>
    </xf>
    <xf numFmtId="3" fontId="0" fillId="2" borderId="5" xfId="0" applyNumberFormat="1" applyFill="1" applyBorder="1"/>
    <xf numFmtId="0" fontId="0" fillId="0" borderId="3" xfId="0" applyBorder="1"/>
    <xf numFmtId="3" fontId="0" fillId="0" borderId="0" xfId="0" applyNumberFormat="1"/>
    <xf numFmtId="0" fontId="1" fillId="0" borderId="4" xfId="0" applyFont="1" applyBorder="1" applyAlignment="1">
      <alignment horizontal="left"/>
    </xf>
    <xf numFmtId="14" fontId="0" fillId="0" borderId="4" xfId="0" applyNumberFormat="1" applyBorder="1"/>
    <xf numFmtId="14" fontId="0" fillId="0" borderId="6" xfId="0" applyNumberFormat="1" applyBorder="1"/>
    <xf numFmtId="0" fontId="2" fillId="0" borderId="1" xfId="0" applyFont="1" applyBorder="1"/>
    <xf numFmtId="14" fontId="1" fillId="0" borderId="2" xfId="0" applyNumberFormat="1" applyFont="1" applyBorder="1"/>
    <xf numFmtId="14" fontId="1" fillId="0" borderId="3" xfId="0" applyNumberFormat="1" applyFont="1" applyBorder="1"/>
    <xf numFmtId="1" fontId="0" fillId="0" borderId="5" xfId="0" applyNumberFormat="1" applyBorder="1"/>
    <xf numFmtId="0" fontId="1" fillId="0" borderId="2" xfId="0" applyFont="1" applyBorder="1"/>
    <xf numFmtId="14" fontId="0" fillId="0" borderId="0" xfId="0" applyNumberFormat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0" xfId="1" applyNumberFormat="1" applyFont="1"/>
    <xf numFmtId="164" fontId="0" fillId="0" borderId="0" xfId="0" applyNumberFormat="1"/>
    <xf numFmtId="14" fontId="1" fillId="0" borderId="4" xfId="0" applyNumberFormat="1" applyFont="1" applyBorder="1"/>
    <xf numFmtId="164" fontId="0" fillId="0" borderId="4" xfId="1" applyNumberFormat="1" applyFon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7" fillId="4" borderId="0" xfId="0" applyFont="1" applyFill="1"/>
    <xf numFmtId="0" fontId="11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3" fontId="14" fillId="4" borderId="0" xfId="0" applyNumberFormat="1" applyFont="1" applyFill="1" applyAlignment="1">
      <alignment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3" fontId="17" fillId="4" borderId="0" xfId="0" applyNumberFormat="1" applyFont="1" applyFill="1"/>
    <xf numFmtId="0" fontId="18" fillId="4" borderId="0" xfId="0" applyFont="1" applyFill="1"/>
    <xf numFmtId="0" fontId="0" fillId="4" borderId="12" xfId="0" applyFill="1" applyBorder="1"/>
    <xf numFmtId="0" fontId="0" fillId="4" borderId="13" xfId="0" applyFill="1" applyBorder="1"/>
    <xf numFmtId="3" fontId="17" fillId="4" borderId="13" xfId="0" applyNumberFormat="1" applyFont="1" applyFill="1" applyBorder="1"/>
    <xf numFmtId="0" fontId="0" fillId="4" borderId="14" xfId="0" applyFill="1" applyBorder="1"/>
    <xf numFmtId="0" fontId="0" fillId="4" borderId="15" xfId="0" applyFill="1" applyBorder="1"/>
    <xf numFmtId="0" fontId="19" fillId="4" borderId="0" xfId="0" applyFont="1" applyFill="1"/>
    <xf numFmtId="14" fontId="1" fillId="0" borderId="0" xfId="0" applyNumberFormat="1" applyFont="1"/>
    <xf numFmtId="164" fontId="0" fillId="0" borderId="5" xfId="1" applyNumberFormat="1" applyFont="1" applyBorder="1"/>
    <xf numFmtId="164" fontId="0" fillId="0" borderId="8" xfId="1" applyNumberFormat="1" applyFont="1" applyBorder="1"/>
    <xf numFmtId="0" fontId="1" fillId="0" borderId="3" xfId="0" applyFont="1" applyBorder="1"/>
    <xf numFmtId="3" fontId="0" fillId="0" borderId="5" xfId="0" applyNumberFormat="1" applyBorder="1"/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3" fontId="17" fillId="4" borderId="0" xfId="0" applyNumberFormat="1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right" indent="1"/>
    </xf>
    <xf numFmtId="0" fontId="12" fillId="4" borderId="0" xfId="0" applyFont="1" applyFill="1" applyAlignment="1">
      <alignment horizontal="right" vertical="top" indent="1"/>
    </xf>
    <xf numFmtId="3" fontId="20" fillId="4" borderId="4" xfId="0" applyNumberFormat="1" applyFont="1" applyFill="1" applyBorder="1" applyAlignment="1">
      <alignment horizontal="left" indent="1"/>
    </xf>
    <xf numFmtId="3" fontId="20" fillId="4" borderId="0" xfId="0" applyNumberFormat="1" applyFont="1" applyFill="1" applyAlignment="1">
      <alignment horizontal="left" indent="1"/>
    </xf>
    <xf numFmtId="0" fontId="12" fillId="4" borderId="4" xfId="0" applyFont="1" applyFill="1" applyBorder="1" applyAlignment="1">
      <alignment horizontal="left" vertical="top" indent="1"/>
    </xf>
    <xf numFmtId="0" fontId="12" fillId="4" borderId="0" xfId="0" applyFont="1" applyFill="1" applyAlignment="1">
      <alignment horizontal="left" vertical="top" indent="1"/>
    </xf>
    <xf numFmtId="0" fontId="19" fillId="4" borderId="0" xfId="0" applyFont="1" applyFill="1" applyAlignment="1">
      <alignment horizontal="center"/>
    </xf>
    <xf numFmtId="0" fontId="21" fillId="4" borderId="19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0" fillId="4" borderId="12" xfId="2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3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ECDE9"/>
      <color rgb="FFFFD733"/>
      <color rgb="FFFFFFCC"/>
      <color rgb="FFC3B393"/>
      <color rgb="FF6C7755"/>
      <color rgb="FFFFF8E5"/>
      <color rgb="FFEBB99D"/>
      <color rgb="FF9DA78A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Patrons with Checkouts</a:t>
            </a:r>
            <a:r>
              <a:rPr lang="en-US" sz="1600" baseline="0"/>
              <a:t> 2019 by Month (avg/day)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Statistics!$B$35:$B$46</c:f>
              <c:strCache>
                <c:ptCount val="12"/>
                <c:pt idx="0">
                  <c:v>187</c:v>
                </c:pt>
                <c:pt idx="1">
                  <c:v>224</c:v>
                </c:pt>
                <c:pt idx="2">
                  <c:v>222</c:v>
                </c:pt>
                <c:pt idx="3">
                  <c:v>232</c:v>
                </c:pt>
                <c:pt idx="4">
                  <c:v>289</c:v>
                </c:pt>
                <c:pt idx="5">
                  <c:v>133</c:v>
                </c:pt>
                <c:pt idx="6">
                  <c:v>38</c:v>
                </c:pt>
                <c:pt idx="7">
                  <c:v>28</c:v>
                </c:pt>
                <c:pt idx="8">
                  <c:v>244</c:v>
                </c:pt>
                <c:pt idx="9">
                  <c:v>308</c:v>
                </c:pt>
                <c:pt idx="10">
                  <c:v>365</c:v>
                </c:pt>
                <c:pt idx="11">
                  <c:v>300</c:v>
                </c:pt>
              </c:strCache>
            </c:strRef>
          </c:tx>
          <c:invertIfNegative val="0"/>
          <c:cat>
            <c:strRef>
              <c:f>Statistics!$A$35:$A$46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Statistics!$B$35:$B$46</c:f>
              <c:numCache>
                <c:formatCode>0</c:formatCode>
                <c:ptCount val="12"/>
                <c:pt idx="0">
                  <c:v>187.19354838709677</c:v>
                </c:pt>
                <c:pt idx="1">
                  <c:v>224.28571428571428</c:v>
                </c:pt>
                <c:pt idx="2">
                  <c:v>222.2258064516129</c:v>
                </c:pt>
                <c:pt idx="3">
                  <c:v>232.13333333333333</c:v>
                </c:pt>
                <c:pt idx="4">
                  <c:v>289.43333333333334</c:v>
                </c:pt>
                <c:pt idx="5">
                  <c:v>132.80000000000001</c:v>
                </c:pt>
                <c:pt idx="6">
                  <c:v>38.354838709677416</c:v>
                </c:pt>
                <c:pt idx="7">
                  <c:v>27.967741935483872</c:v>
                </c:pt>
                <c:pt idx="8">
                  <c:v>244.23333333333332</c:v>
                </c:pt>
                <c:pt idx="9">
                  <c:v>308.25806451612902</c:v>
                </c:pt>
                <c:pt idx="10">
                  <c:v>364.56666666666666</c:v>
                </c:pt>
                <c:pt idx="11">
                  <c:v>300.22580645161293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A-4065-A71A-877C094D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0496"/>
        <c:axId val="402768144"/>
      </c:barChart>
      <c:catAx>
        <c:axId val="40277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2768144"/>
        <c:crosses val="autoZero"/>
        <c:auto val="1"/>
        <c:lblAlgn val="ctr"/>
        <c:lblOffset val="100"/>
        <c:noMultiLvlLbl val="0"/>
      </c:catAx>
      <c:valAx>
        <c:axId val="402768144"/>
        <c:scaling>
          <c:orientation val="minMax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4027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Average Waiting Period (as of…)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Statistics!$B$57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Statistics!$A$58:$A$69</c:f>
              <c:numCache>
                <c:formatCode>m/d/yyyy</c:formatCode>
                <c:ptCount val="12"/>
                <c:pt idx="0">
                  <c:v>43497</c:v>
                </c:pt>
                <c:pt idx="1">
                  <c:v>43528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</c:numCache>
            </c:numRef>
          </c:cat>
          <c:val>
            <c:numRef>
              <c:f>Statistics!$B$58:$B$69</c:f>
              <c:numCache>
                <c:formatCode>General</c:formatCode>
                <c:ptCount val="12"/>
                <c:pt idx="0">
                  <c:v>19.95</c:v>
                </c:pt>
                <c:pt idx="1">
                  <c:v>16.54</c:v>
                </c:pt>
                <c:pt idx="2">
                  <c:v>22.34</c:v>
                </c:pt>
                <c:pt idx="4">
                  <c:v>35.729999999999997</c:v>
                </c:pt>
                <c:pt idx="8">
                  <c:v>11.07</c:v>
                </c:pt>
                <c:pt idx="9">
                  <c:v>12.89</c:v>
                </c:pt>
                <c:pt idx="10">
                  <c:v>18.25</c:v>
                </c:pt>
                <c:pt idx="11">
                  <c:v>23.51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708-81CE-7B692AAB18C3}"/>
            </c:ext>
          </c:extLst>
        </c:ser>
        <c:ser>
          <c:idx val="1"/>
          <c:order val="1"/>
          <c:tx>
            <c:strRef>
              <c:f>Statistics!$C$57</c:f>
              <c:strCache>
                <c:ptCount val="1"/>
                <c:pt idx="0">
                  <c:v>Historical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Statistics!$A$58:$A$69</c:f>
              <c:numCache>
                <c:formatCode>m/d/yyyy</c:formatCode>
                <c:ptCount val="12"/>
                <c:pt idx="0">
                  <c:v>43497</c:v>
                </c:pt>
                <c:pt idx="1">
                  <c:v>43528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</c:numCache>
            </c:numRef>
          </c:cat>
          <c:val>
            <c:numRef>
              <c:f>Statistics!$C$58:$C$69</c:f>
              <c:numCache>
                <c:formatCode>General</c:formatCode>
                <c:ptCount val="12"/>
                <c:pt idx="0">
                  <c:v>5.46</c:v>
                </c:pt>
                <c:pt idx="1">
                  <c:v>5.36</c:v>
                </c:pt>
                <c:pt idx="2">
                  <c:v>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8-48FC-97CC-127C7DA88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765792"/>
        <c:axId val="402767360"/>
      </c:bar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2019 Collection Size (Titles/Copies)</a:t>
            </a:r>
          </a:p>
        </c:rich>
      </c:tx>
      <c:layout>
        <c:manualLayout>
          <c:xMode val="edge"/>
          <c:yMode val="edge"/>
          <c:x val="0.2539374453193351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Statistics!$A$21</c:f>
              <c:strCache>
                <c:ptCount val="1"/>
                <c:pt idx="0">
                  <c:v>TOTAL TITLES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Statistics!$B$2:$M$2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Statistics!$B$21:$M$21</c:f>
              <c:numCache>
                <c:formatCode>#,##0</c:formatCode>
                <c:ptCount val="12"/>
                <c:pt idx="0">
                  <c:v>4546</c:v>
                </c:pt>
                <c:pt idx="1">
                  <c:v>4758</c:v>
                </c:pt>
                <c:pt idx="2">
                  <c:v>4925</c:v>
                </c:pt>
                <c:pt idx="3">
                  <c:v>5056</c:v>
                </c:pt>
                <c:pt idx="4">
                  <c:v>5060</c:v>
                </c:pt>
                <c:pt idx="5">
                  <c:v>5263</c:v>
                </c:pt>
                <c:pt idx="6">
                  <c:v>5378</c:v>
                </c:pt>
                <c:pt idx="7">
                  <c:v>5424</c:v>
                </c:pt>
                <c:pt idx="8">
                  <c:v>5990</c:v>
                </c:pt>
                <c:pt idx="9">
                  <c:v>6077</c:v>
                </c:pt>
                <c:pt idx="10">
                  <c:v>6378</c:v>
                </c:pt>
                <c:pt idx="11">
                  <c:v>7211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6-4B45-A6E5-2235E417177D}"/>
            </c:ext>
          </c:extLst>
        </c:ser>
        <c:ser>
          <c:idx val="1"/>
          <c:order val="1"/>
          <c:tx>
            <c:strRef>
              <c:f>Statistics!$A$25</c:f>
              <c:strCache>
                <c:ptCount val="1"/>
                <c:pt idx="0">
                  <c:v>TOTAL COPIES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Statistics!$B$2:$M$2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Statistics!$B$25:$M$25</c:f>
              <c:numCache>
                <c:formatCode>#,##0</c:formatCode>
                <c:ptCount val="12"/>
                <c:pt idx="0">
                  <c:v>7968</c:v>
                </c:pt>
                <c:pt idx="1">
                  <c:v>8448</c:v>
                </c:pt>
                <c:pt idx="2">
                  <c:v>8833</c:v>
                </c:pt>
                <c:pt idx="3">
                  <c:v>9723</c:v>
                </c:pt>
                <c:pt idx="4">
                  <c:v>9780</c:v>
                </c:pt>
                <c:pt idx="5">
                  <c:v>10105</c:v>
                </c:pt>
                <c:pt idx="6">
                  <c:v>10369</c:v>
                </c:pt>
                <c:pt idx="7">
                  <c:v>10596</c:v>
                </c:pt>
                <c:pt idx="8">
                  <c:v>11172</c:v>
                </c:pt>
                <c:pt idx="9">
                  <c:v>12477</c:v>
                </c:pt>
                <c:pt idx="10">
                  <c:v>12947</c:v>
                </c:pt>
                <c:pt idx="11">
                  <c:v>13748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E6-4B45-A6E5-2235E4171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989000"/>
        <c:axId val="628997200"/>
      </c:barChart>
      <c:catAx>
        <c:axId val="62898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997200"/>
        <c:crosses val="autoZero"/>
        <c:auto val="1"/>
        <c:lblAlgn val="ctr"/>
        <c:lblOffset val="100"/>
        <c:noMultiLvlLbl val="0"/>
      </c:catAx>
      <c:valAx>
        <c:axId val="62899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989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2019 Circulation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Statistics!$B$2:$M$2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Statistics!$B$16:$M$16</c:f>
              <c:numCache>
                <c:formatCode>#,##0</c:formatCode>
                <c:ptCount val="12"/>
                <c:pt idx="0">
                  <c:v>22698</c:v>
                </c:pt>
                <c:pt idx="1">
                  <c:v>22104</c:v>
                </c:pt>
                <c:pt idx="2">
                  <c:v>25862</c:v>
                </c:pt>
                <c:pt idx="3">
                  <c:v>29891</c:v>
                </c:pt>
                <c:pt idx="4">
                  <c:v>38592</c:v>
                </c:pt>
                <c:pt idx="5">
                  <c:v>11132</c:v>
                </c:pt>
                <c:pt idx="6">
                  <c:v>3473</c:v>
                </c:pt>
                <c:pt idx="7">
                  <c:v>2595</c:v>
                </c:pt>
                <c:pt idx="8">
                  <c:v>26485</c:v>
                </c:pt>
                <c:pt idx="9">
                  <c:v>38787</c:v>
                </c:pt>
                <c:pt idx="10">
                  <c:v>40814</c:v>
                </c:pt>
                <c:pt idx="11">
                  <c:v>34371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F-4AD4-AF84-C785EE056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681416"/>
        <c:axId val="688689288"/>
      </c:barChart>
      <c:catAx>
        <c:axId val="68868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689288"/>
        <c:crosses val="autoZero"/>
        <c:auto val="1"/>
        <c:lblAlgn val="ctr"/>
        <c:lblOffset val="100"/>
        <c:noMultiLvlLbl val="0"/>
      </c:catAx>
      <c:valAx>
        <c:axId val="68868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681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33</xdr:row>
      <xdr:rowOff>9525</xdr:rowOff>
    </xdr:from>
    <xdr:to>
      <xdr:col>8</xdr:col>
      <xdr:colOff>180975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557174</xdr:colOff>
      <xdr:row>54</xdr:row>
      <xdr:rowOff>127906</xdr:rowOff>
    </xdr:from>
    <xdr:to>
      <xdr:col>9</xdr:col>
      <xdr:colOff>903514</xdr:colOff>
      <xdr:row>68</xdr:row>
      <xdr:rowOff>131293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101600</xdr:colOff>
      <xdr:row>19</xdr:row>
      <xdr:rowOff>88900</xdr:rowOff>
    </xdr:from>
    <xdr:to>
      <xdr:col>20</xdr:col>
      <xdr:colOff>635000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FD9930-6E55-474E-81CC-A7B9599D3D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292100</xdr:colOff>
      <xdr:row>1</xdr:row>
      <xdr:rowOff>63500</xdr:rowOff>
    </xdr:from>
    <xdr:to>
      <xdr:col>24</xdr:col>
      <xdr:colOff>330200</xdr:colOff>
      <xdr:row>15</xdr:row>
      <xdr:rowOff>139700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519AEBB-586B-4871-9CA3-8B2CF3FE81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3239</xdr:colOff>
      <xdr:row>5</xdr:row>
      <xdr:rowOff>147023</xdr:rowOff>
    </xdr:from>
    <xdr:to>
      <xdr:col>3</xdr:col>
      <xdr:colOff>326764</xdr:colOff>
      <xdr:row>13</xdr:row>
      <xdr:rowOff>23993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0A65F2B-74D0-4479-BB90-F6B43DCC1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518" y="1080847"/>
          <a:ext cx="1374114" cy="1389390"/>
        </a:xfrm>
        <a:prstGeom prst="rect">
          <a:avLst/>
        </a:prstGeom>
      </xdr:spPr>
    </xdr:pic>
    <xdr:clientData/>
  </xdr:twoCellAnchor>
  <xdr:twoCellAnchor editAs="oneCell">
    <xdr:from>
      <xdr:col>0</xdr:col>
      <xdr:colOff>270809</xdr:colOff>
      <xdr:row>25</xdr:row>
      <xdr:rowOff>118465</xdr:rowOff>
    </xdr:from>
    <xdr:to>
      <xdr:col>4</xdr:col>
      <xdr:colOff>74704</xdr:colOff>
      <xdr:row>30</xdr:row>
      <xdr:rowOff>23629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A2C0830-978F-451A-83CA-EA92F97AF9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57" r="15429"/>
        <a:stretch/>
      </xdr:blipFill>
      <xdr:spPr>
        <a:xfrm>
          <a:off x="270809" y="4824936"/>
          <a:ext cx="1933013" cy="821207"/>
        </a:xfrm>
        <a:prstGeom prst="rect">
          <a:avLst/>
        </a:prstGeom>
      </xdr:spPr>
    </xdr:pic>
    <xdr:clientData/>
  </xdr:twoCellAnchor>
  <xdr:oneCellAnchor>
    <xdr:from>
      <xdr:col>6</xdr:col>
      <xdr:colOff>379409</xdr:colOff>
      <xdr:row>8</xdr:row>
      <xdr:rowOff>32823</xdr:rowOff>
    </xdr:from>
    <xdr:ext cx="404807" cy="574162"/>
    <xdr:pic>
      <xdr:nvPicPr>
        <xdr:cNvPr id="18" name="Picture 17">
          <a:extLst>
            <a:ext uri="{FF2B5EF4-FFF2-40B4-BE49-F238E27FC236}">
              <a16:creationId xmlns:a16="http://schemas.microsoft.com/office/drawing/2014/main" id="{FD960564-F779-46B4-BC4A-5B4D6C7EDC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99"/>
        <a:stretch/>
      </xdr:blipFill>
      <xdr:spPr>
        <a:xfrm>
          <a:off x="3573085" y="1526941"/>
          <a:ext cx="404807" cy="5741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ils.org/wsdl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zoomScale="60" zoomScaleNormal="60" workbookViewId="0">
      <selection activeCell="F96" sqref="F96"/>
    </sheetView>
  </sheetViews>
  <sheetFormatPr defaultRowHeight="15" x14ac:dyDescent="0.25"/>
  <cols>
    <col min="1" max="1" width="42.7109375" bestFit="1" customWidth="1"/>
    <col min="2" max="13" width="13.7109375" customWidth="1"/>
    <col min="14" max="14" width="12.7109375" bestFit="1" customWidth="1"/>
    <col min="15" max="15" width="9.28515625"/>
    <col min="16" max="16" width="9.28515625" customWidth="1"/>
    <col min="17" max="17" width="11.42578125" customWidth="1"/>
    <col min="18" max="77" width="9.28515625"/>
  </cols>
  <sheetData>
    <row r="1" spans="1:17" ht="21" x14ac:dyDescent="0.35">
      <c r="A1" s="62" t="s">
        <v>141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9"/>
    </row>
    <row r="2" spans="1:17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17" t="s">
        <v>160</v>
      </c>
    </row>
    <row r="3" spans="1:17" x14ac:dyDescent="0.25">
      <c r="A3" s="1" t="s">
        <v>12</v>
      </c>
      <c r="B3" s="3">
        <f t="shared" ref="B3:M3" si="0">SUM(B4:B6)</f>
        <v>2957</v>
      </c>
      <c r="C3" s="3">
        <f t="shared" si="0"/>
        <v>2870</v>
      </c>
      <c r="D3" s="3">
        <f t="shared" si="0"/>
        <v>3345</v>
      </c>
      <c r="E3" s="3">
        <f t="shared" si="0"/>
        <v>4228</v>
      </c>
      <c r="F3" s="3">
        <f t="shared" si="0"/>
        <v>4780</v>
      </c>
      <c r="G3" s="3">
        <f t="shared" si="0"/>
        <v>2314</v>
      </c>
      <c r="H3" s="3">
        <f>SUM(H4:H6)</f>
        <v>1106</v>
      </c>
      <c r="I3" s="3">
        <f t="shared" si="0"/>
        <v>858</v>
      </c>
      <c r="J3" s="3">
        <f t="shared" si="0"/>
        <v>4867</v>
      </c>
      <c r="K3" s="3">
        <f t="shared" si="0"/>
        <v>6220</v>
      </c>
      <c r="L3" s="3">
        <f t="shared" si="0"/>
        <v>7149</v>
      </c>
      <c r="M3" s="3">
        <f t="shared" si="0"/>
        <v>5348</v>
      </c>
      <c r="N3" s="4">
        <f>SUM(B3:M3)</f>
        <v>46042</v>
      </c>
    </row>
    <row r="4" spans="1:17" x14ac:dyDescent="0.25">
      <c r="A4" s="5" t="s">
        <v>13</v>
      </c>
      <c r="B4" s="6">
        <v>132</v>
      </c>
      <c r="C4" s="6">
        <v>99</v>
      </c>
      <c r="D4" s="6">
        <v>170</v>
      </c>
      <c r="E4" s="6">
        <v>138</v>
      </c>
      <c r="F4" s="6">
        <v>128</v>
      </c>
      <c r="G4" s="6">
        <v>116</v>
      </c>
      <c r="H4" s="6">
        <v>88</v>
      </c>
      <c r="I4" s="6">
        <v>125</v>
      </c>
      <c r="J4" s="6">
        <v>117</v>
      </c>
      <c r="K4" s="6">
        <v>101</v>
      </c>
      <c r="L4" s="6">
        <v>160</v>
      </c>
      <c r="M4" s="6">
        <v>127</v>
      </c>
      <c r="N4" s="18">
        <f t="shared" ref="N4:N13" si="1">SUM(B4:M4)</f>
        <v>1501</v>
      </c>
      <c r="O4" s="20"/>
    </row>
    <row r="5" spans="1:17" x14ac:dyDescent="0.25">
      <c r="A5" s="5" t="s">
        <v>25</v>
      </c>
      <c r="B5" s="6">
        <v>2522</v>
      </c>
      <c r="C5" s="6">
        <v>2545</v>
      </c>
      <c r="D5" s="6">
        <v>2935</v>
      </c>
      <c r="E5" s="6">
        <v>3836</v>
      </c>
      <c r="F5" s="6">
        <v>4363</v>
      </c>
      <c r="G5" s="6">
        <v>2090</v>
      </c>
      <c r="H5" s="6">
        <v>969</v>
      </c>
      <c r="I5" s="6">
        <v>683</v>
      </c>
      <c r="J5" s="6">
        <v>4449</v>
      </c>
      <c r="K5" s="6">
        <v>5809</v>
      </c>
      <c r="L5" s="6">
        <v>5771</v>
      </c>
      <c r="M5" s="6">
        <v>4948</v>
      </c>
      <c r="N5" s="18">
        <f t="shared" si="1"/>
        <v>40920</v>
      </c>
      <c r="O5" s="20"/>
    </row>
    <row r="6" spans="1:17" x14ac:dyDescent="0.25">
      <c r="A6" s="5" t="s">
        <v>23</v>
      </c>
      <c r="B6" s="6">
        <v>303</v>
      </c>
      <c r="C6" s="6">
        <v>226</v>
      </c>
      <c r="D6" s="6">
        <v>240</v>
      </c>
      <c r="E6" s="6">
        <v>254</v>
      </c>
      <c r="F6" s="6">
        <v>289</v>
      </c>
      <c r="G6" s="6">
        <v>108</v>
      </c>
      <c r="H6" s="6">
        <v>49</v>
      </c>
      <c r="I6" s="6">
        <v>50</v>
      </c>
      <c r="J6" s="6">
        <v>301</v>
      </c>
      <c r="K6" s="6">
        <v>310</v>
      </c>
      <c r="L6" s="6">
        <v>1218</v>
      </c>
      <c r="M6" s="6">
        <v>273</v>
      </c>
      <c r="N6" s="18">
        <f t="shared" si="1"/>
        <v>3621</v>
      </c>
      <c r="O6" s="20"/>
    </row>
    <row r="7" spans="1:17" x14ac:dyDescent="0.25">
      <c r="A7" s="1" t="s">
        <v>14</v>
      </c>
      <c r="B7" s="3">
        <f t="shared" ref="B7:D7" si="2">SUM(B8:B13)</f>
        <v>19740</v>
      </c>
      <c r="C7" s="3">
        <f t="shared" si="2"/>
        <v>19234</v>
      </c>
      <c r="D7" s="3">
        <f t="shared" si="2"/>
        <v>22517</v>
      </c>
      <c r="E7" s="3">
        <f>SUM(E8:E13)</f>
        <v>25662</v>
      </c>
      <c r="F7" s="3">
        <f t="shared" ref="F7:M7" si="3">SUM(F8:F13)</f>
        <v>33809</v>
      </c>
      <c r="G7" s="3">
        <f t="shared" si="3"/>
        <v>8818</v>
      </c>
      <c r="H7" s="3">
        <f>SUM(H8:H13)</f>
        <v>2367</v>
      </c>
      <c r="I7" s="3">
        <f t="shared" si="3"/>
        <v>1737</v>
      </c>
      <c r="J7" s="3">
        <f t="shared" si="3"/>
        <v>21618</v>
      </c>
      <c r="K7" s="3">
        <f t="shared" si="3"/>
        <v>32565</v>
      </c>
      <c r="L7" s="3">
        <f t="shared" si="3"/>
        <v>33664</v>
      </c>
      <c r="M7" s="3">
        <f t="shared" si="3"/>
        <v>29023</v>
      </c>
      <c r="N7" s="4">
        <f>SUM(B7:M7)</f>
        <v>250754</v>
      </c>
    </row>
    <row r="8" spans="1:17" x14ac:dyDescent="0.25">
      <c r="A8" s="5" t="s">
        <v>15</v>
      </c>
      <c r="B8" s="6">
        <v>2</v>
      </c>
      <c r="C8" s="6">
        <v>3</v>
      </c>
      <c r="D8" s="6">
        <v>4</v>
      </c>
      <c r="E8" s="6">
        <v>3</v>
      </c>
      <c r="F8" s="6">
        <v>11</v>
      </c>
      <c r="G8" s="6">
        <v>0</v>
      </c>
      <c r="H8" s="6">
        <v>1</v>
      </c>
      <c r="I8" s="6">
        <v>1</v>
      </c>
      <c r="J8" s="6">
        <v>1</v>
      </c>
      <c r="K8" s="6">
        <v>3</v>
      </c>
      <c r="L8" s="6">
        <v>3</v>
      </c>
      <c r="M8" s="6">
        <v>1</v>
      </c>
      <c r="N8" s="18">
        <f t="shared" si="1"/>
        <v>33</v>
      </c>
      <c r="O8" s="20"/>
    </row>
    <row r="9" spans="1:17" x14ac:dyDescent="0.25">
      <c r="A9" s="5" t="s">
        <v>16</v>
      </c>
      <c r="B9" s="6">
        <v>192</v>
      </c>
      <c r="C9" s="6">
        <v>141</v>
      </c>
      <c r="D9" s="6">
        <v>201</v>
      </c>
      <c r="E9" s="6">
        <v>148</v>
      </c>
      <c r="F9" s="6">
        <v>139</v>
      </c>
      <c r="G9" s="6">
        <v>120</v>
      </c>
      <c r="H9" s="6">
        <v>75</v>
      </c>
      <c r="I9" s="6">
        <v>77</v>
      </c>
      <c r="J9" s="6">
        <v>110</v>
      </c>
      <c r="K9" s="6">
        <v>77</v>
      </c>
      <c r="L9" s="6">
        <v>87</v>
      </c>
      <c r="M9" s="6">
        <v>97</v>
      </c>
      <c r="N9" s="18">
        <f t="shared" si="1"/>
        <v>1464</v>
      </c>
      <c r="O9" s="20"/>
    </row>
    <row r="10" spans="1:17" x14ac:dyDescent="0.25">
      <c r="A10" s="5" t="s">
        <v>17</v>
      </c>
      <c r="B10" s="6">
        <v>449</v>
      </c>
      <c r="C10" s="6">
        <v>368</v>
      </c>
      <c r="D10" s="6">
        <v>284</v>
      </c>
      <c r="E10" s="6">
        <v>284</v>
      </c>
      <c r="F10" s="6">
        <v>358</v>
      </c>
      <c r="G10" s="6">
        <v>175</v>
      </c>
      <c r="H10" s="6">
        <v>152</v>
      </c>
      <c r="I10" s="6">
        <v>92</v>
      </c>
      <c r="J10" s="6">
        <v>215</v>
      </c>
      <c r="K10" s="6">
        <v>344</v>
      </c>
      <c r="L10" s="6">
        <v>292</v>
      </c>
      <c r="M10" s="6">
        <v>255</v>
      </c>
      <c r="N10" s="18">
        <f>SUM(B10:M10)</f>
        <v>3268</v>
      </c>
      <c r="O10" s="20"/>
    </row>
    <row r="11" spans="1:17" x14ac:dyDescent="0.25">
      <c r="A11" s="5" t="s">
        <v>26</v>
      </c>
      <c r="B11" s="6">
        <v>0</v>
      </c>
      <c r="C11" s="6">
        <v>1</v>
      </c>
      <c r="D11" s="6">
        <v>3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6</v>
      </c>
      <c r="L11" s="6">
        <v>3</v>
      </c>
      <c r="M11" s="6">
        <v>0</v>
      </c>
      <c r="N11" s="18">
        <f t="shared" si="1"/>
        <v>14</v>
      </c>
      <c r="O11" s="20"/>
    </row>
    <row r="12" spans="1:17" x14ac:dyDescent="0.25">
      <c r="A12" s="5" t="s">
        <v>24</v>
      </c>
      <c r="B12" s="6">
        <v>17842</v>
      </c>
      <c r="C12" s="6">
        <v>17598</v>
      </c>
      <c r="D12" s="6">
        <v>21005</v>
      </c>
      <c r="E12" s="6">
        <v>24258</v>
      </c>
      <c r="F12" s="6">
        <v>31989</v>
      </c>
      <c r="G12" s="6">
        <v>8182</v>
      </c>
      <c r="H12" s="6">
        <v>2055</v>
      </c>
      <c r="I12" s="6">
        <v>1487</v>
      </c>
      <c r="J12" s="6">
        <v>20722</v>
      </c>
      <c r="K12" s="6">
        <v>31429</v>
      </c>
      <c r="L12" s="6">
        <v>31607</v>
      </c>
      <c r="M12" s="6">
        <v>27993</v>
      </c>
      <c r="N12" s="18">
        <f t="shared" si="1"/>
        <v>236167</v>
      </c>
      <c r="O12" s="20"/>
    </row>
    <row r="13" spans="1:17" x14ac:dyDescent="0.25">
      <c r="A13" s="5" t="s">
        <v>22</v>
      </c>
      <c r="B13" s="6">
        <v>1255</v>
      </c>
      <c r="C13" s="6">
        <v>1123</v>
      </c>
      <c r="D13" s="6">
        <v>1020</v>
      </c>
      <c r="E13" s="6">
        <v>969</v>
      </c>
      <c r="F13" s="6">
        <v>1311</v>
      </c>
      <c r="G13" s="6">
        <v>341</v>
      </c>
      <c r="H13" s="6">
        <v>84</v>
      </c>
      <c r="I13" s="6">
        <v>80</v>
      </c>
      <c r="J13" s="6">
        <v>570</v>
      </c>
      <c r="K13" s="6">
        <v>706</v>
      </c>
      <c r="L13" s="6">
        <v>1672</v>
      </c>
      <c r="M13" s="6">
        <v>677</v>
      </c>
      <c r="N13" s="18">
        <f t="shared" si="1"/>
        <v>9808</v>
      </c>
      <c r="O13" s="20"/>
    </row>
    <row r="14" spans="1:17" s="2" customFormat="1" x14ac:dyDescent="0.25">
      <c r="A14" s="21" t="s">
        <v>45</v>
      </c>
      <c r="B14" s="3">
        <f t="shared" ref="B14:M14" si="4">B15</f>
        <v>1</v>
      </c>
      <c r="C14" s="3">
        <f t="shared" si="4"/>
        <v>0</v>
      </c>
      <c r="D14" s="3">
        <f t="shared" si="4"/>
        <v>0</v>
      </c>
      <c r="E14" s="3">
        <f t="shared" si="4"/>
        <v>1</v>
      </c>
      <c r="F14" s="3">
        <f t="shared" si="4"/>
        <v>3</v>
      </c>
      <c r="G14" s="3">
        <f t="shared" si="4"/>
        <v>0</v>
      </c>
      <c r="H14" s="3">
        <f t="shared" si="4"/>
        <v>0</v>
      </c>
      <c r="I14" s="3">
        <f t="shared" si="4"/>
        <v>0</v>
      </c>
      <c r="J14" s="3">
        <f t="shared" si="4"/>
        <v>0</v>
      </c>
      <c r="K14" s="3">
        <f t="shared" si="4"/>
        <v>2</v>
      </c>
      <c r="L14" s="3">
        <f t="shared" si="4"/>
        <v>1</v>
      </c>
      <c r="M14" s="3">
        <f t="shared" si="4"/>
        <v>0</v>
      </c>
      <c r="N14" s="4">
        <f>N15</f>
        <v>8</v>
      </c>
      <c r="O14" s="3"/>
    </row>
    <row r="15" spans="1:17" x14ac:dyDescent="0.25">
      <c r="A15" s="5" t="s">
        <v>46</v>
      </c>
      <c r="B15" s="6">
        <v>1</v>
      </c>
      <c r="C15" s="6">
        <v>0</v>
      </c>
      <c r="D15" s="6">
        <v>0</v>
      </c>
      <c r="E15" s="6">
        <v>1</v>
      </c>
      <c r="F15" s="6">
        <v>3</v>
      </c>
      <c r="G15" s="6">
        <v>0</v>
      </c>
      <c r="H15" s="6">
        <v>0</v>
      </c>
      <c r="I15" s="6">
        <v>0</v>
      </c>
      <c r="J15" s="6">
        <v>0</v>
      </c>
      <c r="K15" s="6">
        <v>2</v>
      </c>
      <c r="L15" s="6">
        <v>1</v>
      </c>
      <c r="M15" s="6">
        <v>0</v>
      </c>
      <c r="N15" s="18">
        <f>SUM(B15:M15)</f>
        <v>8</v>
      </c>
      <c r="O15" s="20"/>
    </row>
    <row r="16" spans="1:17" x14ac:dyDescent="0.25">
      <c r="A16" s="7" t="s">
        <v>18</v>
      </c>
      <c r="B16" s="8">
        <f>SUM(B3,B7,B14)</f>
        <v>22698</v>
      </c>
      <c r="C16" s="8">
        <f t="shared" ref="C16:L16" si="5">SUM(C3,C7,C14)</f>
        <v>22104</v>
      </c>
      <c r="D16" s="8">
        <f t="shared" si="5"/>
        <v>25862</v>
      </c>
      <c r="E16" s="8">
        <f t="shared" si="5"/>
        <v>29891</v>
      </c>
      <c r="F16" s="8">
        <f t="shared" si="5"/>
        <v>38592</v>
      </c>
      <c r="G16" s="8">
        <f t="shared" si="5"/>
        <v>11132</v>
      </c>
      <c r="H16" s="8">
        <f t="shared" si="5"/>
        <v>3473</v>
      </c>
      <c r="I16" s="8">
        <f t="shared" si="5"/>
        <v>2595</v>
      </c>
      <c r="J16" s="8">
        <f t="shared" si="5"/>
        <v>26485</v>
      </c>
      <c r="K16" s="8">
        <f t="shared" si="5"/>
        <v>38787</v>
      </c>
      <c r="L16" s="8">
        <f t="shared" si="5"/>
        <v>40814</v>
      </c>
      <c r="M16" s="8">
        <f>SUM(M3,M7,M14)</f>
        <v>34371</v>
      </c>
      <c r="N16" s="8">
        <f>SUM(N3,N7,N14)</f>
        <v>296804</v>
      </c>
      <c r="P16" t="s">
        <v>158</v>
      </c>
      <c r="Q16">
        <v>117617</v>
      </c>
    </row>
    <row r="18" spans="1:14" x14ac:dyDescent="0.25">
      <c r="A18" s="64" t="s">
        <v>142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ht="60" x14ac:dyDescent="0.25">
      <c r="A20" s="9" t="s">
        <v>19</v>
      </c>
      <c r="B20" s="10" t="s">
        <v>143</v>
      </c>
      <c r="C20" s="10" t="s">
        <v>144</v>
      </c>
      <c r="D20" s="10" t="s">
        <v>145</v>
      </c>
      <c r="E20" s="10" t="s">
        <v>146</v>
      </c>
      <c r="F20" s="10" t="s">
        <v>147</v>
      </c>
      <c r="G20" s="10" t="s">
        <v>148</v>
      </c>
      <c r="H20" s="10" t="s">
        <v>149</v>
      </c>
      <c r="I20" s="10" t="s">
        <v>150</v>
      </c>
      <c r="J20" s="10" t="s">
        <v>151</v>
      </c>
      <c r="K20" s="10" t="s">
        <v>152</v>
      </c>
      <c r="L20" s="10" t="s">
        <v>153</v>
      </c>
      <c r="M20" s="11" t="s">
        <v>154</v>
      </c>
    </row>
    <row r="21" spans="1:14" x14ac:dyDescent="0.25">
      <c r="A21" s="1" t="s">
        <v>31</v>
      </c>
      <c r="B21" s="3">
        <f t="shared" ref="B21:M21" si="6">SUM(B22:B23)</f>
        <v>4546</v>
      </c>
      <c r="C21" s="3">
        <f t="shared" si="6"/>
        <v>4758</v>
      </c>
      <c r="D21" s="3">
        <f t="shared" si="6"/>
        <v>4925</v>
      </c>
      <c r="E21" s="3">
        <f t="shared" si="6"/>
        <v>5056</v>
      </c>
      <c r="F21" s="3">
        <f t="shared" si="6"/>
        <v>5060</v>
      </c>
      <c r="G21" s="3">
        <f t="shared" si="6"/>
        <v>5263</v>
      </c>
      <c r="H21" s="3">
        <f t="shared" si="6"/>
        <v>5378</v>
      </c>
      <c r="I21" s="3">
        <f t="shared" si="6"/>
        <v>5424</v>
      </c>
      <c r="J21" s="3">
        <f t="shared" si="6"/>
        <v>5990</v>
      </c>
      <c r="K21" s="3">
        <f>SUM(K22:K23)</f>
        <v>6077</v>
      </c>
      <c r="L21" s="3">
        <f t="shared" si="6"/>
        <v>6378</v>
      </c>
      <c r="M21" s="4">
        <f t="shared" si="6"/>
        <v>7211</v>
      </c>
    </row>
    <row r="22" spans="1:14" x14ac:dyDescent="0.25">
      <c r="A22" s="12" t="s">
        <v>30</v>
      </c>
      <c r="B22" s="20">
        <f>294+9</f>
        <v>303</v>
      </c>
      <c r="C22" s="20">
        <f>331+9</f>
        <v>340</v>
      </c>
      <c r="D22" s="20">
        <v>406</v>
      </c>
      <c r="E22" s="20">
        <v>407</v>
      </c>
      <c r="F22" s="20">
        <v>407</v>
      </c>
      <c r="G22" s="20">
        <v>562</v>
      </c>
      <c r="H22" s="20">
        <v>657</v>
      </c>
      <c r="I22" s="20">
        <v>658</v>
      </c>
      <c r="J22" s="20">
        <v>773</v>
      </c>
      <c r="K22" s="20">
        <f>761+23</f>
        <v>784</v>
      </c>
      <c r="L22" s="20">
        <f>779+23</f>
        <v>802</v>
      </c>
      <c r="M22" s="58">
        <f>1115+56</f>
        <v>1171</v>
      </c>
    </row>
    <row r="23" spans="1:14" x14ac:dyDescent="0.25">
      <c r="A23" s="12" t="s">
        <v>33</v>
      </c>
      <c r="B23" s="20">
        <f>3259+40+467+477</f>
        <v>4243</v>
      </c>
      <c r="C23" s="20">
        <f>3319+41+568+490</f>
        <v>4418</v>
      </c>
      <c r="D23" s="20">
        <f>3392+41+605+481</f>
        <v>4519</v>
      </c>
      <c r="E23" s="20">
        <v>4649</v>
      </c>
      <c r="F23" s="20">
        <v>4653</v>
      </c>
      <c r="G23" s="20">
        <f>3445+703+47+506</f>
        <v>4701</v>
      </c>
      <c r="H23" s="20">
        <v>4721</v>
      </c>
      <c r="I23" s="20">
        <v>4766</v>
      </c>
      <c r="J23" s="20">
        <f>3606+48+990+573</f>
        <v>5217</v>
      </c>
      <c r="K23" s="20">
        <f>3620+55+1032+586</f>
        <v>5293</v>
      </c>
      <c r="L23" s="20">
        <f>3815+62+1109+590</f>
        <v>5576</v>
      </c>
      <c r="M23" s="58">
        <f>3963+68+1235+774</f>
        <v>6040</v>
      </c>
    </row>
    <row r="24" spans="1:14" x14ac:dyDescent="0.25">
      <c r="A24" s="1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58"/>
    </row>
    <row r="25" spans="1:14" x14ac:dyDescent="0.25">
      <c r="A25" s="1" t="s">
        <v>32</v>
      </c>
      <c r="B25" s="3">
        <f t="shared" ref="B25:M25" si="7">SUM(B26:B27)</f>
        <v>7968</v>
      </c>
      <c r="C25" s="3">
        <f t="shared" si="7"/>
        <v>8448</v>
      </c>
      <c r="D25" s="3">
        <f t="shared" si="7"/>
        <v>8833</v>
      </c>
      <c r="E25" s="3">
        <f t="shared" si="7"/>
        <v>9723</v>
      </c>
      <c r="F25" s="3">
        <f t="shared" si="7"/>
        <v>9780</v>
      </c>
      <c r="G25" s="3">
        <f t="shared" si="7"/>
        <v>10105</v>
      </c>
      <c r="H25" s="3">
        <f t="shared" si="7"/>
        <v>10369</v>
      </c>
      <c r="I25" s="3">
        <f t="shared" si="7"/>
        <v>10596</v>
      </c>
      <c r="J25" s="3">
        <f t="shared" si="7"/>
        <v>11172</v>
      </c>
      <c r="K25" s="3">
        <f t="shared" si="7"/>
        <v>12477</v>
      </c>
      <c r="L25" s="3">
        <f t="shared" si="7"/>
        <v>12947</v>
      </c>
      <c r="M25" s="4">
        <f t="shared" si="7"/>
        <v>13748</v>
      </c>
    </row>
    <row r="26" spans="1:14" x14ac:dyDescent="0.25">
      <c r="A26" s="12" t="s">
        <v>30</v>
      </c>
      <c r="B26" s="20">
        <f>385+42</f>
        <v>427</v>
      </c>
      <c r="C26" s="20">
        <f>458+42</f>
        <v>500</v>
      </c>
      <c r="D26" s="20">
        <v>599</v>
      </c>
      <c r="E26" s="20">
        <v>780</v>
      </c>
      <c r="F26" s="20">
        <v>780</v>
      </c>
      <c r="G26" s="20">
        <f>896+43</f>
        <v>939</v>
      </c>
      <c r="H26" s="20">
        <v>1123</v>
      </c>
      <c r="I26" s="20">
        <v>1163</v>
      </c>
      <c r="J26" s="20">
        <v>1280</v>
      </c>
      <c r="K26" s="20">
        <f>1290+57</f>
        <v>1347</v>
      </c>
      <c r="L26" s="20">
        <f>1364+57</f>
        <v>1421</v>
      </c>
      <c r="M26" s="58">
        <f>1717+90</f>
        <v>1807</v>
      </c>
    </row>
    <row r="27" spans="1:14" x14ac:dyDescent="0.25">
      <c r="A27" s="12" t="s">
        <v>33</v>
      </c>
      <c r="B27" s="20">
        <f>5322+148+1130+941</f>
        <v>7541</v>
      </c>
      <c r="C27" s="20">
        <f>5479+167+1307+995</f>
        <v>7948</v>
      </c>
      <c r="D27" s="20">
        <f>5619+182+1458+975</f>
        <v>8234</v>
      </c>
      <c r="E27" s="20">
        <v>8943</v>
      </c>
      <c r="F27" s="20">
        <v>9000</v>
      </c>
      <c r="G27" s="20">
        <f>6027+213+1775+1151</f>
        <v>9166</v>
      </c>
      <c r="H27" s="20">
        <v>9246</v>
      </c>
      <c r="I27" s="20">
        <v>9433</v>
      </c>
      <c r="J27" s="20">
        <v>9892</v>
      </c>
      <c r="K27" s="20">
        <f>6536+371+2819+1404</f>
        <v>11130</v>
      </c>
      <c r="L27" s="20">
        <f>6817+384+3020+1305</f>
        <v>11526</v>
      </c>
      <c r="M27" s="58">
        <f>7022+369+3098+1452</f>
        <v>11941</v>
      </c>
    </row>
    <row r="28" spans="1:14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</row>
    <row r="29" spans="1:14" x14ac:dyDescent="0.25">
      <c r="A29" s="3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4" s="2" customFormat="1" ht="21" x14ac:dyDescent="0.35">
      <c r="A30" s="24" t="s">
        <v>29</v>
      </c>
      <c r="B30" s="25">
        <v>43497</v>
      </c>
      <c r="C30" s="25">
        <v>43528</v>
      </c>
      <c r="D30" s="25">
        <v>43556</v>
      </c>
      <c r="E30" s="25">
        <v>43586</v>
      </c>
      <c r="F30" s="25">
        <v>43617</v>
      </c>
      <c r="G30" s="25">
        <v>43647</v>
      </c>
      <c r="H30" s="25">
        <v>43678</v>
      </c>
      <c r="I30" s="25">
        <v>43709</v>
      </c>
      <c r="J30" s="25">
        <v>43748</v>
      </c>
      <c r="K30" s="25">
        <v>43770</v>
      </c>
      <c r="L30" s="25">
        <v>43803</v>
      </c>
      <c r="M30" s="26">
        <v>43832</v>
      </c>
      <c r="N30" s="34"/>
    </row>
    <row r="31" spans="1:14" s="32" customFormat="1" x14ac:dyDescent="0.25">
      <c r="A31" s="32" t="s">
        <v>20</v>
      </c>
      <c r="B31" s="32">
        <v>459</v>
      </c>
      <c r="C31" s="32">
        <v>2528</v>
      </c>
      <c r="D31" s="32">
        <v>4217</v>
      </c>
      <c r="E31" s="32">
        <v>9408</v>
      </c>
      <c r="F31" s="32">
        <v>9502</v>
      </c>
      <c r="G31" s="32">
        <v>10269</v>
      </c>
      <c r="H31" s="32">
        <v>13926</v>
      </c>
      <c r="I31" s="32">
        <v>13927</v>
      </c>
      <c r="J31" s="32">
        <v>14199</v>
      </c>
      <c r="K31" s="32">
        <v>16587</v>
      </c>
      <c r="L31" s="32">
        <v>19604</v>
      </c>
      <c r="M31" s="55">
        <v>21948</v>
      </c>
    </row>
    <row r="32" spans="1:14" s="32" customFormat="1" x14ac:dyDescent="0.25">
      <c r="A32" s="30" t="s">
        <v>21</v>
      </c>
      <c r="B32" s="31">
        <v>26615</v>
      </c>
      <c r="C32" s="31">
        <v>30103</v>
      </c>
      <c r="D32" s="31">
        <v>33661</v>
      </c>
      <c r="E32" s="31">
        <v>48480</v>
      </c>
      <c r="F32" s="31">
        <v>48656</v>
      </c>
      <c r="G32" s="31">
        <v>49138</v>
      </c>
      <c r="H32" s="31">
        <v>55974</v>
      </c>
      <c r="I32" s="31">
        <v>55977</v>
      </c>
      <c r="J32" s="31">
        <v>57450</v>
      </c>
      <c r="K32" s="31">
        <v>64747</v>
      </c>
      <c r="L32" s="31">
        <v>77458</v>
      </c>
      <c r="M32" s="31">
        <v>86175</v>
      </c>
      <c r="N32" s="35"/>
    </row>
    <row r="33" spans="1:1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21" x14ac:dyDescent="0.35">
      <c r="A34" s="62" t="s">
        <v>155</v>
      </c>
      <c r="B34" s="65"/>
    </row>
    <row r="35" spans="1:13" x14ac:dyDescent="0.25">
      <c r="A35" s="12" t="s">
        <v>0</v>
      </c>
      <c r="B35" s="27">
        <f>5803/31</f>
        <v>187.19354838709677</v>
      </c>
    </row>
    <row r="36" spans="1:13" x14ac:dyDescent="0.25">
      <c r="A36" s="12" t="s">
        <v>1</v>
      </c>
      <c r="B36" s="27">
        <f>6280/28</f>
        <v>224.28571428571428</v>
      </c>
    </row>
    <row r="37" spans="1:13" x14ac:dyDescent="0.25">
      <c r="A37" s="12" t="s">
        <v>2</v>
      </c>
      <c r="B37" s="27">
        <v>222.2258064516129</v>
      </c>
    </row>
    <row r="38" spans="1:13" x14ac:dyDescent="0.25">
      <c r="A38" s="12" t="s">
        <v>3</v>
      </c>
      <c r="B38" s="27">
        <f>6964/30</f>
        <v>232.13333333333333</v>
      </c>
    </row>
    <row r="39" spans="1:13" x14ac:dyDescent="0.25">
      <c r="A39" s="12" t="s">
        <v>4</v>
      </c>
      <c r="B39" s="27">
        <f>8683/30</f>
        <v>289.43333333333334</v>
      </c>
    </row>
    <row r="40" spans="1:13" x14ac:dyDescent="0.25">
      <c r="A40" s="12" t="s">
        <v>5</v>
      </c>
      <c r="B40" s="27">
        <f>3984/30</f>
        <v>132.80000000000001</v>
      </c>
    </row>
    <row r="41" spans="1:13" x14ac:dyDescent="0.25">
      <c r="A41" s="12" t="s">
        <v>6</v>
      </c>
      <c r="B41" s="27">
        <f>1189/31</f>
        <v>38.354838709677416</v>
      </c>
    </row>
    <row r="42" spans="1:13" x14ac:dyDescent="0.25">
      <c r="A42" s="12" t="s">
        <v>7</v>
      </c>
      <c r="B42" s="27">
        <f>867/31</f>
        <v>27.967741935483872</v>
      </c>
    </row>
    <row r="43" spans="1:13" x14ac:dyDescent="0.25">
      <c r="A43" s="12" t="s">
        <v>8</v>
      </c>
      <c r="B43" s="27">
        <f>7327/30</f>
        <v>244.23333333333332</v>
      </c>
    </row>
    <row r="44" spans="1:13" x14ac:dyDescent="0.25">
      <c r="A44" s="12" t="s">
        <v>9</v>
      </c>
      <c r="B44" s="27">
        <f>9556/31</f>
        <v>308.25806451612902</v>
      </c>
    </row>
    <row r="45" spans="1:13" x14ac:dyDescent="0.25">
      <c r="A45" s="12" t="s">
        <v>10</v>
      </c>
      <c r="B45" s="27">
        <f>10937/30</f>
        <v>364.56666666666666</v>
      </c>
    </row>
    <row r="46" spans="1:13" x14ac:dyDescent="0.25">
      <c r="A46" s="12" t="s">
        <v>11</v>
      </c>
      <c r="B46" s="27">
        <f>9307/31</f>
        <v>300.22580645161293</v>
      </c>
    </row>
    <row r="47" spans="1:13" x14ac:dyDescent="0.25">
      <c r="A47" s="28"/>
      <c r="B47" s="28"/>
    </row>
    <row r="50" spans="1:13" s="2" customFormat="1" ht="21" x14ac:dyDescent="0.35">
      <c r="A50" s="24" t="s">
        <v>28</v>
      </c>
      <c r="B50" s="25">
        <v>43497</v>
      </c>
      <c r="C50" s="25">
        <v>43528</v>
      </c>
      <c r="D50" s="25">
        <v>43556</v>
      </c>
      <c r="E50" s="25">
        <v>43586</v>
      </c>
      <c r="F50" s="25">
        <v>43617</v>
      </c>
      <c r="G50" s="25">
        <v>43647</v>
      </c>
      <c r="H50" s="25">
        <v>43678</v>
      </c>
      <c r="I50" s="25">
        <v>43709</v>
      </c>
      <c r="J50" s="25">
        <v>43739</v>
      </c>
      <c r="K50" s="25">
        <v>43770</v>
      </c>
      <c r="L50" s="25">
        <v>43803</v>
      </c>
      <c r="M50" s="26">
        <v>43832</v>
      </c>
    </row>
    <row r="51" spans="1:13" x14ac:dyDescent="0.25">
      <c r="A51" s="22" t="s">
        <v>20</v>
      </c>
      <c r="B51">
        <v>352</v>
      </c>
      <c r="C51">
        <v>479</v>
      </c>
      <c r="D51">
        <v>554</v>
      </c>
      <c r="E51">
        <v>554</v>
      </c>
      <c r="F51">
        <v>587</v>
      </c>
      <c r="G51">
        <v>117</v>
      </c>
      <c r="J51">
        <v>1110</v>
      </c>
      <c r="K51">
        <v>1350</v>
      </c>
      <c r="L51">
        <v>1219</v>
      </c>
      <c r="M51" s="13">
        <v>867</v>
      </c>
    </row>
    <row r="52" spans="1:13" x14ac:dyDescent="0.25">
      <c r="A52" s="23" t="s">
        <v>21</v>
      </c>
      <c r="B52" s="15">
        <v>494</v>
      </c>
      <c r="C52" s="15">
        <v>763</v>
      </c>
      <c r="D52" s="15">
        <v>699</v>
      </c>
      <c r="E52" s="15">
        <v>699</v>
      </c>
      <c r="F52" s="15">
        <v>430</v>
      </c>
      <c r="G52" s="15">
        <v>309</v>
      </c>
      <c r="H52" s="15"/>
      <c r="I52" s="15"/>
      <c r="J52" s="15">
        <v>1705</v>
      </c>
      <c r="K52" s="15">
        <v>2381</v>
      </c>
      <c r="L52" s="15">
        <v>3531</v>
      </c>
      <c r="M52" s="16">
        <v>2735</v>
      </c>
    </row>
    <row r="53" spans="1:13" x14ac:dyDescent="0.25">
      <c r="A53" s="29"/>
    </row>
    <row r="54" spans="1:13" x14ac:dyDescent="0.25">
      <c r="A54" s="29"/>
    </row>
    <row r="55" spans="1:13" x14ac:dyDescent="0.2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7" spans="1:13" ht="21" x14ac:dyDescent="0.35">
      <c r="A57" s="24" t="s">
        <v>27</v>
      </c>
      <c r="B57" s="28" t="s">
        <v>156</v>
      </c>
      <c r="C57" s="57" t="s">
        <v>157</v>
      </c>
    </row>
    <row r="58" spans="1:13" x14ac:dyDescent="0.25">
      <c r="A58" s="22">
        <v>43497</v>
      </c>
      <c r="B58">
        <v>19.95</v>
      </c>
      <c r="C58" s="13">
        <v>5.46</v>
      </c>
    </row>
    <row r="59" spans="1:13" x14ac:dyDescent="0.25">
      <c r="A59" s="22">
        <v>43528</v>
      </c>
      <c r="B59">
        <v>16.54</v>
      </c>
      <c r="C59" s="13">
        <v>5.36</v>
      </c>
    </row>
    <row r="60" spans="1:13" x14ac:dyDescent="0.25">
      <c r="A60" s="22">
        <v>43556</v>
      </c>
      <c r="B60">
        <v>22.34</v>
      </c>
      <c r="C60" s="13">
        <v>5.23</v>
      </c>
    </row>
    <row r="61" spans="1:13" x14ac:dyDescent="0.25">
      <c r="A61" s="22">
        <v>43586</v>
      </c>
      <c r="C61" s="13"/>
    </row>
    <row r="62" spans="1:13" x14ac:dyDescent="0.25">
      <c r="A62" s="22">
        <v>43617</v>
      </c>
      <c r="B62">
        <v>35.729999999999997</v>
      </c>
      <c r="C62" s="13"/>
    </row>
    <row r="63" spans="1:13" x14ac:dyDescent="0.25">
      <c r="A63" s="22">
        <v>43647</v>
      </c>
      <c r="C63" s="13"/>
    </row>
    <row r="64" spans="1:13" x14ac:dyDescent="0.25">
      <c r="A64" s="22">
        <v>43678</v>
      </c>
      <c r="C64" s="13"/>
    </row>
    <row r="65" spans="1:14" x14ac:dyDescent="0.25">
      <c r="A65" s="22">
        <v>43709</v>
      </c>
      <c r="C65" s="13"/>
    </row>
    <row r="66" spans="1:14" x14ac:dyDescent="0.25">
      <c r="A66" s="22">
        <v>43739</v>
      </c>
      <c r="B66">
        <v>11.07</v>
      </c>
      <c r="C66" s="13"/>
    </row>
    <row r="67" spans="1:14" x14ac:dyDescent="0.25">
      <c r="A67" s="22">
        <v>43770</v>
      </c>
      <c r="B67">
        <v>12.89</v>
      </c>
      <c r="C67" s="13"/>
    </row>
    <row r="68" spans="1:14" x14ac:dyDescent="0.25">
      <c r="A68" s="22">
        <v>43800</v>
      </c>
      <c r="B68">
        <v>18.25</v>
      </c>
      <c r="C68" s="13"/>
    </row>
    <row r="69" spans="1:14" x14ac:dyDescent="0.25">
      <c r="A69" s="23">
        <v>43831</v>
      </c>
      <c r="B69" s="15">
        <v>23.51</v>
      </c>
      <c r="C69" s="16"/>
    </row>
    <row r="71" spans="1:14" s="2" customFormat="1" ht="21" x14ac:dyDescent="0.35">
      <c r="A71" s="24" t="s">
        <v>47</v>
      </c>
      <c r="B71" s="25">
        <v>43468</v>
      </c>
      <c r="C71" s="25">
        <v>43556</v>
      </c>
      <c r="D71" s="25">
        <v>43647</v>
      </c>
      <c r="E71" s="25">
        <v>43739</v>
      </c>
      <c r="F71" s="26">
        <v>43832</v>
      </c>
      <c r="G71" s="54"/>
      <c r="H71" s="54"/>
      <c r="I71" s="54"/>
      <c r="J71" s="54"/>
      <c r="K71" s="54"/>
      <c r="L71" s="54"/>
      <c r="M71" s="54"/>
      <c r="N71" s="54"/>
    </row>
    <row r="72" spans="1:14" s="32" customFormat="1" x14ac:dyDescent="0.25">
      <c r="A72" s="35" t="s">
        <v>38</v>
      </c>
      <c r="B72" s="32">
        <v>109</v>
      </c>
      <c r="C72" s="32">
        <v>125</v>
      </c>
      <c r="D72" s="32">
        <v>123</v>
      </c>
      <c r="E72" s="32">
        <v>121</v>
      </c>
      <c r="F72" s="55">
        <v>134</v>
      </c>
    </row>
    <row r="73" spans="1:14" s="32" customFormat="1" x14ac:dyDescent="0.25">
      <c r="A73" s="30" t="s">
        <v>37</v>
      </c>
      <c r="B73" s="31">
        <v>131884</v>
      </c>
      <c r="C73" s="31">
        <v>151747</v>
      </c>
      <c r="D73" s="31">
        <v>148733</v>
      </c>
      <c r="E73" s="31">
        <v>155468</v>
      </c>
      <c r="F73" s="56">
        <v>164132</v>
      </c>
    </row>
    <row r="74" spans="1:14" x14ac:dyDescent="0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6" spans="1:14" x14ac:dyDescent="0.25">
      <c r="A76" s="66" t="s">
        <v>193</v>
      </c>
      <c r="B76" s="67"/>
    </row>
    <row r="77" spans="1:14" x14ac:dyDescent="0.25">
      <c r="A77" s="68" t="s">
        <v>216</v>
      </c>
      <c r="B77" s="69"/>
    </row>
    <row r="78" spans="1:14" x14ac:dyDescent="0.25">
      <c r="A78" s="59" t="s">
        <v>194</v>
      </c>
      <c r="B78" s="17" t="s">
        <v>195</v>
      </c>
    </row>
    <row r="79" spans="1:14" x14ac:dyDescent="0.25">
      <c r="A79" s="37" t="s">
        <v>196</v>
      </c>
      <c r="B79" s="60">
        <v>350</v>
      </c>
    </row>
    <row r="80" spans="1:14" x14ac:dyDescent="0.25">
      <c r="A80" s="37" t="s">
        <v>197</v>
      </c>
      <c r="B80" s="60">
        <v>333</v>
      </c>
    </row>
    <row r="81" spans="1:2" x14ac:dyDescent="0.25">
      <c r="A81" s="37" t="s">
        <v>198</v>
      </c>
      <c r="B81" s="60">
        <v>152</v>
      </c>
    </row>
    <row r="82" spans="1:2" x14ac:dyDescent="0.25">
      <c r="A82" s="37" t="s">
        <v>199</v>
      </c>
      <c r="B82" s="60">
        <v>104</v>
      </c>
    </row>
    <row r="83" spans="1:2" ht="30" x14ac:dyDescent="0.25">
      <c r="A83" s="37" t="s">
        <v>200</v>
      </c>
      <c r="B83" s="60">
        <v>69</v>
      </c>
    </row>
    <row r="84" spans="1:2" ht="30" x14ac:dyDescent="0.25">
      <c r="A84" s="37" t="s">
        <v>201</v>
      </c>
      <c r="B84" s="60">
        <v>59</v>
      </c>
    </row>
    <row r="85" spans="1:2" x14ac:dyDescent="0.25">
      <c r="A85" s="37" t="s">
        <v>202</v>
      </c>
      <c r="B85" s="60">
        <v>59</v>
      </c>
    </row>
    <row r="86" spans="1:2" ht="30" x14ac:dyDescent="0.25">
      <c r="A86" s="37" t="s">
        <v>203</v>
      </c>
      <c r="B86" s="60">
        <v>58</v>
      </c>
    </row>
    <row r="87" spans="1:2" x14ac:dyDescent="0.25">
      <c r="A87" s="37" t="s">
        <v>204</v>
      </c>
      <c r="B87" s="60">
        <v>52</v>
      </c>
    </row>
    <row r="88" spans="1:2" x14ac:dyDescent="0.25">
      <c r="A88" s="37" t="s">
        <v>205</v>
      </c>
      <c r="B88" s="60">
        <v>51</v>
      </c>
    </row>
    <row r="89" spans="1:2" ht="30" x14ac:dyDescent="0.25">
      <c r="A89" s="37" t="s">
        <v>206</v>
      </c>
      <c r="B89" s="60">
        <v>50</v>
      </c>
    </row>
    <row r="90" spans="1:2" x14ac:dyDescent="0.25">
      <c r="A90" s="37" t="s">
        <v>207</v>
      </c>
      <c r="B90" s="60">
        <v>49</v>
      </c>
    </row>
    <row r="91" spans="1:2" ht="30" x14ac:dyDescent="0.25">
      <c r="A91" s="37" t="s">
        <v>208</v>
      </c>
      <c r="B91" s="60">
        <v>49</v>
      </c>
    </row>
    <row r="92" spans="1:2" x14ac:dyDescent="0.25">
      <c r="A92" s="37" t="s">
        <v>209</v>
      </c>
      <c r="B92" s="60">
        <v>47</v>
      </c>
    </row>
    <row r="93" spans="1:2" ht="30" x14ac:dyDescent="0.25">
      <c r="A93" s="37" t="s">
        <v>210</v>
      </c>
      <c r="B93" s="60">
        <v>46</v>
      </c>
    </row>
    <row r="94" spans="1:2" ht="30" x14ac:dyDescent="0.25">
      <c r="A94" s="37" t="s">
        <v>211</v>
      </c>
      <c r="B94" s="60">
        <v>44</v>
      </c>
    </row>
    <row r="95" spans="1:2" ht="30" x14ac:dyDescent="0.25">
      <c r="A95" s="37" t="s">
        <v>212</v>
      </c>
      <c r="B95" s="60">
        <v>40</v>
      </c>
    </row>
    <row r="96" spans="1:2" x14ac:dyDescent="0.25">
      <c r="A96" s="37" t="s">
        <v>213</v>
      </c>
      <c r="B96" s="60">
        <v>35</v>
      </c>
    </row>
    <row r="97" spans="1:2" x14ac:dyDescent="0.25">
      <c r="A97" s="37" t="s">
        <v>214</v>
      </c>
      <c r="B97" s="60">
        <v>34</v>
      </c>
    </row>
    <row r="98" spans="1:2" x14ac:dyDescent="0.25">
      <c r="A98" s="37" t="s">
        <v>215</v>
      </c>
      <c r="B98" s="60">
        <v>31</v>
      </c>
    </row>
    <row r="99" spans="1:2" x14ac:dyDescent="0.25">
      <c r="A99" s="14"/>
      <c r="B99" s="61"/>
    </row>
  </sheetData>
  <mergeCells count="5">
    <mergeCell ref="A1:M1"/>
    <mergeCell ref="A18:N19"/>
    <mergeCell ref="A34:B34"/>
    <mergeCell ref="A76:B76"/>
    <mergeCell ref="A77:B7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workbookViewId="0">
      <selection activeCell="B16" sqref="B16"/>
    </sheetView>
  </sheetViews>
  <sheetFormatPr defaultRowHeight="15" x14ac:dyDescent="0.25"/>
  <cols>
    <col min="1" max="8" width="7.5703125" customWidth="1"/>
    <col min="9" max="9" width="8.140625" customWidth="1"/>
    <col min="10" max="10" width="9.28515625" customWidth="1"/>
    <col min="11" max="11" width="7.5703125" customWidth="1"/>
  </cols>
  <sheetData>
    <row r="1" spans="1:11" ht="15" customHeight="1" x14ac:dyDescent="0.25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" customHeight="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5" customHeight="1" x14ac:dyDescent="0.25">
      <c r="A4" s="82" t="s">
        <v>159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5" customHeight="1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5" customHeight="1" thickBo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5" customHeight="1" x14ac:dyDescent="0.6">
      <c r="A7" s="39"/>
      <c r="B7" s="40"/>
      <c r="C7" s="40"/>
      <c r="D7" s="40"/>
      <c r="E7" s="89" t="s">
        <v>36</v>
      </c>
      <c r="F7" s="90"/>
      <c r="G7" s="90"/>
      <c r="H7" s="90"/>
      <c r="I7" s="90"/>
      <c r="J7" s="91"/>
      <c r="K7" s="39"/>
    </row>
    <row r="8" spans="1:11" ht="15" customHeight="1" x14ac:dyDescent="0.25">
      <c r="A8" s="39"/>
      <c r="B8" s="39"/>
      <c r="C8" s="39"/>
      <c r="D8" s="39"/>
      <c r="E8" s="92"/>
      <c r="F8" s="93"/>
      <c r="G8" s="93"/>
      <c r="H8" s="93"/>
      <c r="I8" s="93"/>
      <c r="J8" s="94"/>
      <c r="K8" s="39"/>
    </row>
    <row r="9" spans="1:11" ht="15" customHeight="1" x14ac:dyDescent="0.25">
      <c r="A9" s="39"/>
      <c r="B9" s="39"/>
      <c r="C9" s="39"/>
      <c r="D9" s="39"/>
      <c r="E9" s="95">
        <f>Statistics!F72</f>
        <v>134</v>
      </c>
      <c r="F9" s="96"/>
      <c r="G9" s="96"/>
      <c r="H9" s="97">
        <f>Statistics!F73</f>
        <v>164132</v>
      </c>
      <c r="I9" s="96"/>
      <c r="J9" s="98"/>
      <c r="K9" s="39"/>
    </row>
    <row r="10" spans="1:11" ht="15" customHeight="1" x14ac:dyDescent="0.25">
      <c r="A10" s="39"/>
      <c r="B10" s="39"/>
      <c r="C10" s="39"/>
      <c r="D10" s="39"/>
      <c r="E10" s="95"/>
      <c r="F10" s="96"/>
      <c r="G10" s="96"/>
      <c r="H10" s="96"/>
      <c r="I10" s="96"/>
      <c r="J10" s="98"/>
      <c r="K10" s="39"/>
    </row>
    <row r="11" spans="1:11" ht="18" customHeight="1" x14ac:dyDescent="0.25">
      <c r="A11" s="39"/>
      <c r="B11" s="39"/>
      <c r="C11" s="39"/>
      <c r="D11" s="39"/>
      <c r="E11" s="99" t="s">
        <v>38</v>
      </c>
      <c r="F11" s="100"/>
      <c r="G11" s="100"/>
      <c r="H11" s="100" t="s">
        <v>37</v>
      </c>
      <c r="I11" s="100"/>
      <c r="J11" s="101"/>
      <c r="K11" s="39"/>
    </row>
    <row r="12" spans="1:11" ht="15" customHeight="1" x14ac:dyDescent="0.25">
      <c r="A12" s="39"/>
      <c r="B12" s="39"/>
      <c r="C12" s="39"/>
      <c r="D12" s="39"/>
      <c r="E12" s="83" t="s">
        <v>39</v>
      </c>
      <c r="F12" s="84"/>
      <c r="G12" s="84"/>
      <c r="H12" s="84"/>
      <c r="I12" s="84"/>
      <c r="J12" s="85"/>
      <c r="K12" s="39"/>
    </row>
    <row r="13" spans="1:11" ht="15" customHeight="1" thickBot="1" x14ac:dyDescent="0.3">
      <c r="A13" s="39"/>
      <c r="B13" s="39"/>
      <c r="C13" s="39"/>
      <c r="D13" s="39"/>
      <c r="E13" s="86"/>
      <c r="F13" s="87"/>
      <c r="G13" s="87"/>
      <c r="H13" s="87"/>
      <c r="I13" s="87"/>
      <c r="J13" s="88"/>
      <c r="K13" s="39"/>
    </row>
    <row r="14" spans="1:11" ht="15" customHeight="1" thickBot="1" x14ac:dyDescent="0.3">
      <c r="A14" s="39"/>
      <c r="B14" s="39"/>
      <c r="C14" s="39"/>
      <c r="D14" s="39"/>
      <c r="E14" s="41"/>
      <c r="F14" s="41"/>
      <c r="G14" s="41"/>
      <c r="H14" s="41"/>
      <c r="I14" s="41"/>
      <c r="J14" s="41"/>
      <c r="K14" s="39"/>
    </row>
    <row r="15" spans="1:11" ht="15" customHeight="1" thickBot="1" x14ac:dyDescent="0.35">
      <c r="A15" s="39"/>
      <c r="B15" s="78" t="s">
        <v>217</v>
      </c>
      <c r="C15" s="79"/>
      <c r="D15" s="79"/>
      <c r="E15" s="79"/>
      <c r="F15" s="79"/>
      <c r="G15" s="79"/>
      <c r="H15" s="79"/>
      <c r="I15" s="79"/>
      <c r="J15" s="80"/>
      <c r="K15" s="47"/>
    </row>
    <row r="16" spans="1:11" ht="15" customHeight="1" x14ac:dyDescent="0.3">
      <c r="A16" s="39"/>
      <c r="B16" s="48"/>
      <c r="C16" s="77" t="s">
        <v>41</v>
      </c>
      <c r="D16" s="77"/>
      <c r="E16" s="77"/>
      <c r="F16" s="53"/>
      <c r="G16" s="77" t="s">
        <v>43</v>
      </c>
      <c r="H16" s="77"/>
      <c r="I16" s="77"/>
      <c r="J16" s="49"/>
      <c r="K16" s="47"/>
    </row>
    <row r="17" spans="1:11" ht="15" customHeight="1" x14ac:dyDescent="0.3">
      <c r="A17" s="39"/>
      <c r="B17" s="48"/>
      <c r="C17" s="77"/>
      <c r="D17" s="77"/>
      <c r="E17" s="77"/>
      <c r="F17" s="53"/>
      <c r="G17" s="77"/>
      <c r="H17" s="77"/>
      <c r="I17" s="77"/>
      <c r="J17" s="49"/>
      <c r="K17" s="47"/>
    </row>
    <row r="18" spans="1:11" ht="15" customHeight="1" x14ac:dyDescent="0.25">
      <c r="A18" s="39"/>
      <c r="B18" s="48"/>
      <c r="C18" s="70">
        <f>Statistics!M21</f>
        <v>7211</v>
      </c>
      <c r="D18" s="70"/>
      <c r="E18" s="70"/>
      <c r="F18" s="46"/>
      <c r="G18" s="70">
        <f>Statistics!N16</f>
        <v>296804</v>
      </c>
      <c r="H18" s="70"/>
      <c r="I18" s="70"/>
      <c r="J18" s="49"/>
      <c r="K18" s="46"/>
    </row>
    <row r="19" spans="1:11" ht="15" customHeight="1" x14ac:dyDescent="0.25">
      <c r="A19" s="39"/>
      <c r="B19" s="48"/>
      <c r="C19" s="70"/>
      <c r="D19" s="70"/>
      <c r="E19" s="70"/>
      <c r="F19" s="46"/>
      <c r="G19" s="70"/>
      <c r="H19" s="70"/>
      <c r="I19" s="70"/>
      <c r="J19" s="49"/>
      <c r="K19" s="46"/>
    </row>
    <row r="20" spans="1:11" ht="15" customHeight="1" x14ac:dyDescent="0.3">
      <c r="A20" s="39"/>
      <c r="B20" s="48"/>
      <c r="C20" s="77" t="s">
        <v>42</v>
      </c>
      <c r="D20" s="77"/>
      <c r="E20" s="77"/>
      <c r="F20" s="53"/>
      <c r="G20" s="77" t="s">
        <v>44</v>
      </c>
      <c r="H20" s="77"/>
      <c r="I20" s="77"/>
      <c r="J20" s="49"/>
      <c r="K20" s="47"/>
    </row>
    <row r="21" spans="1:11" ht="15" customHeight="1" x14ac:dyDescent="0.3">
      <c r="A21" s="39"/>
      <c r="B21" s="48"/>
      <c r="C21" s="77"/>
      <c r="D21" s="77"/>
      <c r="E21" s="77"/>
      <c r="F21" s="53"/>
      <c r="G21" s="77"/>
      <c r="H21" s="77"/>
      <c r="I21" s="77"/>
      <c r="J21" s="49"/>
      <c r="K21" s="47"/>
    </row>
    <row r="22" spans="1:11" ht="15" customHeight="1" x14ac:dyDescent="0.25">
      <c r="A22" s="39"/>
      <c r="B22" s="48"/>
      <c r="C22" s="70">
        <f>Statistics!M25</f>
        <v>13748</v>
      </c>
      <c r="D22" s="70"/>
      <c r="E22" s="70"/>
      <c r="F22" s="46"/>
      <c r="G22" s="70">
        <f>SUM(Statistics!M51:M52)</f>
        <v>3602</v>
      </c>
      <c r="H22" s="70"/>
      <c r="I22" s="70"/>
      <c r="J22" s="49"/>
      <c r="K22" s="46"/>
    </row>
    <row r="23" spans="1:11" ht="15" customHeight="1" x14ac:dyDescent="0.25">
      <c r="A23" s="39"/>
      <c r="B23" s="48"/>
      <c r="C23" s="70"/>
      <c r="D23" s="70"/>
      <c r="E23" s="70"/>
      <c r="F23" s="46"/>
      <c r="G23" s="70"/>
      <c r="H23" s="70"/>
      <c r="I23" s="70"/>
      <c r="J23" s="50"/>
      <c r="K23" s="46"/>
    </row>
    <row r="24" spans="1:11" ht="15" customHeight="1" thickBot="1" x14ac:dyDescent="0.3">
      <c r="A24" s="39"/>
      <c r="B24" s="51"/>
      <c r="C24" s="52"/>
      <c r="D24" s="52"/>
      <c r="E24" s="52"/>
      <c r="F24" s="44"/>
      <c r="G24" s="44"/>
      <c r="H24" s="44"/>
      <c r="I24" s="44"/>
      <c r="J24" s="45"/>
      <c r="K24" s="41"/>
    </row>
    <row r="25" spans="1:11" ht="15" customHeight="1" x14ac:dyDescent="0.25">
      <c r="A25" s="39"/>
      <c r="B25" s="39"/>
      <c r="C25" s="39"/>
      <c r="D25" s="39"/>
      <c r="E25" s="39"/>
      <c r="F25" s="41"/>
      <c r="G25" s="41"/>
      <c r="H25" s="41"/>
      <c r="I25" s="41"/>
      <c r="J25" s="41"/>
      <c r="K25" s="41"/>
    </row>
    <row r="26" spans="1:11" ht="15" customHeight="1" x14ac:dyDescent="0.25">
      <c r="A26" s="43"/>
      <c r="B26" s="43"/>
      <c r="C26" s="43"/>
      <c r="D26" s="43"/>
      <c r="E26" s="71">
        <f>Statistics!Q16+Statistics!N16</f>
        <v>414421</v>
      </c>
      <c r="F26" s="71"/>
      <c r="G26" s="71"/>
      <c r="H26" s="71"/>
      <c r="I26" s="73">
        <f>Statistics!M31+Statistics!M32</f>
        <v>108123</v>
      </c>
      <c r="J26" s="74"/>
      <c r="K26" s="43"/>
    </row>
    <row r="27" spans="1:11" ht="15" customHeight="1" x14ac:dyDescent="0.25">
      <c r="A27" s="43"/>
      <c r="B27" s="43"/>
      <c r="C27" s="43"/>
      <c r="D27" s="43"/>
      <c r="E27" s="71"/>
      <c r="F27" s="71"/>
      <c r="G27" s="71"/>
      <c r="H27" s="71"/>
      <c r="I27" s="73"/>
      <c r="J27" s="74"/>
      <c r="K27" s="43"/>
    </row>
    <row r="28" spans="1:11" ht="15" customHeight="1" x14ac:dyDescent="0.25">
      <c r="A28" s="42"/>
      <c r="B28" s="42"/>
      <c r="C28" s="42"/>
      <c r="D28" s="42"/>
      <c r="E28" s="72" t="s">
        <v>34</v>
      </c>
      <c r="F28" s="72"/>
      <c r="G28" s="72"/>
      <c r="H28" s="72"/>
      <c r="I28" s="75" t="s">
        <v>40</v>
      </c>
      <c r="J28" s="76"/>
      <c r="K28" s="42"/>
    </row>
    <row r="29" spans="1:11" ht="15" customHeight="1" x14ac:dyDescent="0.25">
      <c r="A29" s="42"/>
      <c r="B29" s="42"/>
      <c r="C29" s="42"/>
      <c r="D29" s="42"/>
      <c r="E29" s="72"/>
      <c r="F29" s="72"/>
      <c r="G29" s="72"/>
      <c r="H29" s="72"/>
      <c r="I29" s="75"/>
      <c r="J29" s="76"/>
      <c r="K29" s="42"/>
    </row>
    <row r="30" spans="1:11" ht="15" customHeight="1" x14ac:dyDescent="0.25">
      <c r="A30" s="39"/>
      <c r="B30" s="39"/>
      <c r="C30" s="39"/>
      <c r="D30" s="39"/>
      <c r="E30" s="39"/>
      <c r="F30" s="41"/>
      <c r="G30" s="41"/>
      <c r="H30" s="41"/>
      <c r="I30" s="41"/>
      <c r="J30" s="41"/>
      <c r="K30" s="41"/>
    </row>
    <row r="31" spans="1:11" ht="21.6" customHeight="1" x14ac:dyDescent="0.25"/>
    <row r="32" spans="1:1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21.6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</sheetData>
  <mergeCells count="21">
    <mergeCell ref="B15:J15"/>
    <mergeCell ref="A1:K3"/>
    <mergeCell ref="A4:K5"/>
    <mergeCell ref="E12:J13"/>
    <mergeCell ref="E7:J8"/>
    <mergeCell ref="E9:G10"/>
    <mergeCell ref="H9:J10"/>
    <mergeCell ref="E11:G11"/>
    <mergeCell ref="H11:J11"/>
    <mergeCell ref="C16:E17"/>
    <mergeCell ref="G16:I17"/>
    <mergeCell ref="C18:E19"/>
    <mergeCell ref="G18:I19"/>
    <mergeCell ref="C20:E21"/>
    <mergeCell ref="G20:I21"/>
    <mergeCell ref="G22:I23"/>
    <mergeCell ref="E26:H27"/>
    <mergeCell ref="E28:H29"/>
    <mergeCell ref="I26:J27"/>
    <mergeCell ref="I28:J29"/>
    <mergeCell ref="C22:E23"/>
  </mergeCells>
  <hyperlinks>
    <hyperlink ref="E12" r:id="rId1"/>
  </hyperlinks>
  <printOptions horizontalCentered="1" verticalCentered="1"/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workbookViewId="0">
      <selection activeCell="D23" sqref="D23"/>
    </sheetView>
  </sheetViews>
  <sheetFormatPr defaultRowHeight="15" x14ac:dyDescent="0.25"/>
  <cols>
    <col min="1" max="1" width="46.85546875" bestFit="1" customWidth="1"/>
    <col min="6" max="6" width="29.28515625" bestFit="1" customWidth="1"/>
  </cols>
  <sheetData>
    <row r="1" spans="1:6" x14ac:dyDescent="0.25">
      <c r="A1" t="s">
        <v>48</v>
      </c>
      <c r="F1" s="2"/>
    </row>
    <row r="2" spans="1:6" x14ac:dyDescent="0.25">
      <c r="A2" t="s">
        <v>161</v>
      </c>
    </row>
    <row r="3" spans="1:6" x14ac:dyDescent="0.25">
      <c r="A3" t="s">
        <v>49</v>
      </c>
    </row>
    <row r="4" spans="1:6" x14ac:dyDescent="0.25">
      <c r="A4" t="s">
        <v>50</v>
      </c>
    </row>
    <row r="5" spans="1:6" x14ac:dyDescent="0.25">
      <c r="A5" t="s">
        <v>51</v>
      </c>
    </row>
    <row r="6" spans="1:6" x14ac:dyDescent="0.25">
      <c r="A6" t="s">
        <v>129</v>
      </c>
    </row>
    <row r="7" spans="1:6" x14ac:dyDescent="0.25">
      <c r="A7" t="s">
        <v>52</v>
      </c>
    </row>
    <row r="8" spans="1:6" x14ac:dyDescent="0.25">
      <c r="A8" t="s">
        <v>53</v>
      </c>
    </row>
    <row r="9" spans="1:6" x14ac:dyDescent="0.25">
      <c r="A9" t="s">
        <v>162</v>
      </c>
    </row>
    <row r="10" spans="1:6" x14ac:dyDescent="0.25">
      <c r="A10" t="s">
        <v>163</v>
      </c>
    </row>
    <row r="11" spans="1:6" x14ac:dyDescent="0.25">
      <c r="A11" t="s">
        <v>54</v>
      </c>
    </row>
    <row r="12" spans="1:6" x14ac:dyDescent="0.25">
      <c r="A12" t="s">
        <v>164</v>
      </c>
    </row>
    <row r="13" spans="1:6" x14ac:dyDescent="0.25">
      <c r="A13" t="s">
        <v>55</v>
      </c>
    </row>
    <row r="14" spans="1:6" x14ac:dyDescent="0.25">
      <c r="A14" t="s">
        <v>56</v>
      </c>
    </row>
    <row r="15" spans="1:6" x14ac:dyDescent="0.25">
      <c r="A15" t="s">
        <v>57</v>
      </c>
    </row>
    <row r="16" spans="1:6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165</v>
      </c>
    </row>
    <row r="19" spans="1:1" x14ac:dyDescent="0.25">
      <c r="A19" t="s">
        <v>130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166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167</v>
      </c>
    </row>
    <row r="28" spans="1:1" x14ac:dyDescent="0.25">
      <c r="A28" t="s">
        <v>66</v>
      </c>
    </row>
    <row r="29" spans="1:1" x14ac:dyDescent="0.25">
      <c r="A29" t="s">
        <v>131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132</v>
      </c>
    </row>
    <row r="34" spans="1:1" x14ac:dyDescent="0.25">
      <c r="A34" t="s">
        <v>168</v>
      </c>
    </row>
    <row r="35" spans="1:1" x14ac:dyDescent="0.25">
      <c r="A35" t="s">
        <v>70</v>
      </c>
    </row>
    <row r="36" spans="1:1" x14ac:dyDescent="0.25">
      <c r="A36" t="s">
        <v>71</v>
      </c>
    </row>
    <row r="37" spans="1:1" x14ac:dyDescent="0.25">
      <c r="A37" t="s">
        <v>72</v>
      </c>
    </row>
    <row r="38" spans="1:1" x14ac:dyDescent="0.25">
      <c r="A38" t="s">
        <v>73</v>
      </c>
    </row>
    <row r="39" spans="1:1" x14ac:dyDescent="0.25">
      <c r="A39" t="s">
        <v>74</v>
      </c>
    </row>
    <row r="40" spans="1:1" x14ac:dyDescent="0.25">
      <c r="A40" t="s">
        <v>75</v>
      </c>
    </row>
    <row r="41" spans="1:1" x14ac:dyDescent="0.25">
      <c r="A41" t="s">
        <v>76</v>
      </c>
    </row>
    <row r="42" spans="1:1" x14ac:dyDescent="0.25">
      <c r="A42" t="s">
        <v>77</v>
      </c>
    </row>
    <row r="43" spans="1:1" x14ac:dyDescent="0.25">
      <c r="A43" t="s">
        <v>78</v>
      </c>
    </row>
    <row r="44" spans="1:1" x14ac:dyDescent="0.25">
      <c r="A44" t="s">
        <v>79</v>
      </c>
    </row>
    <row r="45" spans="1:1" x14ac:dyDescent="0.25">
      <c r="A45" t="s">
        <v>81</v>
      </c>
    </row>
    <row r="46" spans="1:1" x14ac:dyDescent="0.25">
      <c r="A46" t="s">
        <v>80</v>
      </c>
    </row>
    <row r="47" spans="1:1" x14ac:dyDescent="0.25">
      <c r="A47" t="s">
        <v>133</v>
      </c>
    </row>
    <row r="48" spans="1:1" x14ac:dyDescent="0.25">
      <c r="A48" t="s">
        <v>82</v>
      </c>
    </row>
    <row r="49" spans="1:1" x14ac:dyDescent="0.25">
      <c r="A49" t="s">
        <v>83</v>
      </c>
    </row>
    <row r="50" spans="1:1" x14ac:dyDescent="0.25">
      <c r="A50" t="s">
        <v>84</v>
      </c>
    </row>
    <row r="51" spans="1:1" x14ac:dyDescent="0.25">
      <c r="A51" t="s">
        <v>169</v>
      </c>
    </row>
    <row r="52" spans="1:1" x14ac:dyDescent="0.25">
      <c r="A52" t="s">
        <v>170</v>
      </c>
    </row>
    <row r="53" spans="1:1" x14ac:dyDescent="0.25">
      <c r="A53" t="s">
        <v>85</v>
      </c>
    </row>
    <row r="54" spans="1:1" x14ac:dyDescent="0.25">
      <c r="A54" t="s">
        <v>134</v>
      </c>
    </row>
    <row r="55" spans="1:1" x14ac:dyDescent="0.25">
      <c r="A55" t="s">
        <v>86</v>
      </c>
    </row>
    <row r="56" spans="1:1" x14ac:dyDescent="0.25">
      <c r="A56" t="s">
        <v>87</v>
      </c>
    </row>
    <row r="57" spans="1:1" x14ac:dyDescent="0.25">
      <c r="A57" t="s">
        <v>171</v>
      </c>
    </row>
    <row r="58" spans="1:1" x14ac:dyDescent="0.25">
      <c r="A58" t="s">
        <v>135</v>
      </c>
    </row>
    <row r="59" spans="1:1" x14ac:dyDescent="0.25">
      <c r="A59" t="s">
        <v>88</v>
      </c>
    </row>
    <row r="60" spans="1:1" x14ac:dyDescent="0.25">
      <c r="A60" t="s">
        <v>89</v>
      </c>
    </row>
    <row r="61" spans="1:1" x14ac:dyDescent="0.25">
      <c r="A61" t="s">
        <v>172</v>
      </c>
    </row>
    <row r="62" spans="1:1" x14ac:dyDescent="0.25">
      <c r="A62" t="s">
        <v>90</v>
      </c>
    </row>
    <row r="63" spans="1:1" x14ac:dyDescent="0.25">
      <c r="A63" t="s">
        <v>91</v>
      </c>
    </row>
    <row r="64" spans="1:1" x14ac:dyDescent="0.25">
      <c r="A64" t="s">
        <v>92</v>
      </c>
    </row>
    <row r="65" spans="1:1" x14ac:dyDescent="0.25">
      <c r="A65" t="s">
        <v>136</v>
      </c>
    </row>
    <row r="66" spans="1:1" x14ac:dyDescent="0.25">
      <c r="A66" t="s">
        <v>93</v>
      </c>
    </row>
    <row r="67" spans="1:1" x14ac:dyDescent="0.25">
      <c r="A67" t="s">
        <v>173</v>
      </c>
    </row>
    <row r="68" spans="1:1" x14ac:dyDescent="0.25">
      <c r="A68" t="s">
        <v>137</v>
      </c>
    </row>
    <row r="69" spans="1:1" x14ac:dyDescent="0.25">
      <c r="A69" t="s">
        <v>94</v>
      </c>
    </row>
    <row r="70" spans="1:1" x14ac:dyDescent="0.25">
      <c r="A70" t="s">
        <v>95</v>
      </c>
    </row>
    <row r="71" spans="1:1" x14ac:dyDescent="0.25">
      <c r="A71" t="s">
        <v>96</v>
      </c>
    </row>
    <row r="72" spans="1:1" x14ac:dyDescent="0.25">
      <c r="A72" t="s">
        <v>174</v>
      </c>
    </row>
    <row r="73" spans="1:1" x14ac:dyDescent="0.25">
      <c r="A73" t="s">
        <v>97</v>
      </c>
    </row>
    <row r="74" spans="1:1" x14ac:dyDescent="0.25">
      <c r="A74" t="s">
        <v>98</v>
      </c>
    </row>
    <row r="75" spans="1:1" x14ac:dyDescent="0.25">
      <c r="A75" t="s">
        <v>175</v>
      </c>
    </row>
    <row r="76" spans="1:1" x14ac:dyDescent="0.25">
      <c r="A76" t="s">
        <v>99</v>
      </c>
    </row>
    <row r="77" spans="1:1" x14ac:dyDescent="0.25">
      <c r="A77" t="s">
        <v>176</v>
      </c>
    </row>
    <row r="78" spans="1:1" x14ac:dyDescent="0.25">
      <c r="A78" t="s">
        <v>100</v>
      </c>
    </row>
    <row r="79" spans="1:1" x14ac:dyDescent="0.25">
      <c r="A79" t="s">
        <v>101</v>
      </c>
    </row>
    <row r="80" spans="1:1" x14ac:dyDescent="0.25">
      <c r="A80" t="s">
        <v>177</v>
      </c>
    </row>
    <row r="81" spans="1:1" x14ac:dyDescent="0.25">
      <c r="A81" t="s">
        <v>102</v>
      </c>
    </row>
    <row r="82" spans="1:1" x14ac:dyDescent="0.25">
      <c r="A82" t="s">
        <v>103</v>
      </c>
    </row>
    <row r="83" spans="1:1" x14ac:dyDescent="0.25">
      <c r="A83" t="s">
        <v>104</v>
      </c>
    </row>
    <row r="84" spans="1:1" x14ac:dyDescent="0.25">
      <c r="A84" t="s">
        <v>105</v>
      </c>
    </row>
    <row r="85" spans="1:1" x14ac:dyDescent="0.25">
      <c r="A85" t="s">
        <v>106</v>
      </c>
    </row>
    <row r="86" spans="1:1" x14ac:dyDescent="0.25">
      <c r="A86" t="s">
        <v>178</v>
      </c>
    </row>
    <row r="87" spans="1:1" x14ac:dyDescent="0.25">
      <c r="A87" t="s">
        <v>107</v>
      </c>
    </row>
    <row r="88" spans="1:1" x14ac:dyDescent="0.25">
      <c r="A88" t="s">
        <v>179</v>
      </c>
    </row>
    <row r="89" spans="1:1" x14ac:dyDescent="0.25">
      <c r="A89" t="s">
        <v>138</v>
      </c>
    </row>
    <row r="90" spans="1:1" x14ac:dyDescent="0.25">
      <c r="A90" t="s">
        <v>180</v>
      </c>
    </row>
    <row r="91" spans="1:1" x14ac:dyDescent="0.25">
      <c r="A91" t="s">
        <v>108</v>
      </c>
    </row>
    <row r="92" spans="1:1" x14ac:dyDescent="0.25">
      <c r="A92" t="s">
        <v>109</v>
      </c>
    </row>
    <row r="93" spans="1:1" x14ac:dyDescent="0.25">
      <c r="A93" t="s">
        <v>110</v>
      </c>
    </row>
    <row r="94" spans="1:1" x14ac:dyDescent="0.25">
      <c r="A94" t="s">
        <v>111</v>
      </c>
    </row>
    <row r="95" spans="1:1" x14ac:dyDescent="0.25">
      <c r="A95" t="s">
        <v>112</v>
      </c>
    </row>
    <row r="96" spans="1:1" x14ac:dyDescent="0.25">
      <c r="A96" t="s">
        <v>181</v>
      </c>
    </row>
    <row r="97" spans="1:1" x14ac:dyDescent="0.25">
      <c r="A97" t="s">
        <v>113</v>
      </c>
    </row>
    <row r="98" spans="1:1" x14ac:dyDescent="0.25">
      <c r="A98" t="s">
        <v>114</v>
      </c>
    </row>
    <row r="99" spans="1:1" x14ac:dyDescent="0.25">
      <c r="A99" t="s">
        <v>115</v>
      </c>
    </row>
    <row r="100" spans="1:1" x14ac:dyDescent="0.25">
      <c r="A100" t="s">
        <v>182</v>
      </c>
    </row>
    <row r="101" spans="1:1" x14ac:dyDescent="0.25">
      <c r="A101" t="s">
        <v>183</v>
      </c>
    </row>
    <row r="102" spans="1:1" x14ac:dyDescent="0.25">
      <c r="A102" t="s">
        <v>116</v>
      </c>
    </row>
    <row r="103" spans="1:1" x14ac:dyDescent="0.25">
      <c r="A103" t="s">
        <v>184</v>
      </c>
    </row>
    <row r="104" spans="1:1" x14ac:dyDescent="0.25">
      <c r="A104" t="s">
        <v>117</v>
      </c>
    </row>
    <row r="105" spans="1:1" x14ac:dyDescent="0.25">
      <c r="A105" t="s">
        <v>185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186</v>
      </c>
    </row>
    <row r="111" spans="1:1" x14ac:dyDescent="0.25">
      <c r="A111" t="s">
        <v>187</v>
      </c>
    </row>
    <row r="112" spans="1:1" x14ac:dyDescent="0.25">
      <c r="A112" t="s">
        <v>122</v>
      </c>
    </row>
    <row r="113" spans="1:1" x14ac:dyDescent="0.25">
      <c r="A113" t="s">
        <v>123</v>
      </c>
    </row>
    <row r="114" spans="1:1" x14ac:dyDescent="0.25">
      <c r="A114" t="s">
        <v>188</v>
      </c>
    </row>
    <row r="115" spans="1:1" x14ac:dyDescent="0.25">
      <c r="A115" t="s">
        <v>139</v>
      </c>
    </row>
    <row r="116" spans="1:1" x14ac:dyDescent="0.25">
      <c r="A116" t="s">
        <v>124</v>
      </c>
    </row>
    <row r="117" spans="1:1" x14ac:dyDescent="0.25">
      <c r="A117" t="s">
        <v>189</v>
      </c>
    </row>
    <row r="118" spans="1:1" x14ac:dyDescent="0.25">
      <c r="A118" t="s">
        <v>190</v>
      </c>
    </row>
    <row r="119" spans="1:1" x14ac:dyDescent="0.25">
      <c r="A119" t="s">
        <v>125</v>
      </c>
    </row>
    <row r="120" spans="1:1" x14ac:dyDescent="0.25">
      <c r="A120" t="s">
        <v>140</v>
      </c>
    </row>
    <row r="121" spans="1:1" x14ac:dyDescent="0.25">
      <c r="A121" t="s">
        <v>126</v>
      </c>
    </row>
    <row r="122" spans="1:1" x14ac:dyDescent="0.25">
      <c r="A122" t="s">
        <v>127</v>
      </c>
    </row>
    <row r="123" spans="1:1" x14ac:dyDescent="0.25">
      <c r="A123" t="s">
        <v>191</v>
      </c>
    </row>
    <row r="124" spans="1:1" x14ac:dyDescent="0.25">
      <c r="A124" t="s">
        <v>192</v>
      </c>
    </row>
    <row r="125" spans="1:1" x14ac:dyDescent="0.25">
      <c r="A125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Statistics</vt:lpstr>
      <vt:lpstr>Updated Infographic</vt:lpstr>
      <vt:lpstr>Members as of 6-21-19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2020-02-07T11:28:45Z</dcterms:modified>
</cp:coreProperties>
</file>