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10" windowHeight="10410"/>
  </bookViews>
  <sheets>
    <sheet name="Statistics" sheetId="1" r:id="rId1"/>
    <sheet name="Updated Infographic" sheetId="3" r:id="rId2"/>
  </sheets>
  <calcPr calcId="162913"/>
</workbook>
</file>

<file path=xl/calcChain.xml><?xml version="1.0" encoding="utf-8"?>
<calcChain xmlns="http://schemas.openxmlformats.org/spreadsheetml/2006/main">
  <c r="H9" i="3" l="1"/>
  <c r="E9" i="3"/>
  <c r="G22" i="3" l="1"/>
  <c r="C22" i="3"/>
  <c r="C18" i="3"/>
  <c r="B50" i="1"/>
  <c r="M31" i="1"/>
  <c r="M27" i="1"/>
  <c r="M30" i="1"/>
  <c r="M26" i="1"/>
  <c r="B49" i="1" l="1"/>
  <c r="L31" i="1"/>
  <c r="L27" i="1"/>
  <c r="L30" i="1"/>
  <c r="L26" i="1"/>
  <c r="B48" i="1" l="1"/>
  <c r="K31" i="1"/>
  <c r="K27" i="1"/>
  <c r="K30" i="1"/>
  <c r="K26" i="1"/>
  <c r="I26" i="3" l="1"/>
  <c r="E81" i="1"/>
  <c r="B47" i="1"/>
  <c r="J31" i="1"/>
  <c r="J27" i="1"/>
  <c r="J30" i="1"/>
  <c r="J26" i="1"/>
  <c r="B46" i="1" l="1"/>
  <c r="I31" i="1"/>
  <c r="I27" i="1"/>
  <c r="I30" i="1"/>
  <c r="I26" i="1"/>
  <c r="B45" i="1" l="1"/>
  <c r="H31" i="1"/>
  <c r="H27" i="1"/>
  <c r="H30" i="1"/>
  <c r="H26" i="1"/>
  <c r="B44" i="1" l="1"/>
  <c r="G31" i="1"/>
  <c r="G27" i="1"/>
  <c r="G30" i="1"/>
  <c r="G26" i="1"/>
  <c r="B43" i="1" l="1"/>
  <c r="F31" i="1"/>
  <c r="F27" i="1"/>
  <c r="F30" i="1"/>
  <c r="F26" i="1"/>
  <c r="B42" i="1" l="1"/>
  <c r="E31" i="1"/>
  <c r="E27" i="1"/>
  <c r="E30" i="1"/>
  <c r="E26" i="1"/>
  <c r="B41" i="1" l="1"/>
  <c r="D31" i="1"/>
  <c r="D27" i="1"/>
  <c r="D30" i="1"/>
  <c r="D26" i="1"/>
  <c r="B40" i="1" l="1"/>
  <c r="C30" i="1"/>
  <c r="C26" i="1"/>
  <c r="C31" i="1"/>
  <c r="C27" i="1"/>
  <c r="B39" i="1" l="1"/>
  <c r="B31" i="1"/>
  <c r="B27" i="1"/>
  <c r="B30" i="1"/>
  <c r="B26" i="1"/>
  <c r="N18" i="1" l="1"/>
  <c r="L18" i="1" l="1"/>
  <c r="L16" i="1"/>
  <c r="M18" i="1" l="1"/>
  <c r="K18" i="1"/>
  <c r="J18" i="1"/>
  <c r="I18" i="1"/>
  <c r="H18" i="1"/>
  <c r="G18" i="1"/>
  <c r="F18" i="1"/>
  <c r="E18" i="1"/>
  <c r="D18" i="1"/>
  <c r="C18" i="1"/>
  <c r="B18" i="1"/>
  <c r="H3" i="1" l="1"/>
  <c r="H7" i="1"/>
  <c r="F7" i="1" l="1"/>
  <c r="G7" i="1"/>
  <c r="I7" i="1"/>
  <c r="J7" i="1"/>
  <c r="K7" i="1"/>
  <c r="L7" i="1"/>
  <c r="M7" i="1"/>
  <c r="E7" i="1"/>
  <c r="I16" i="1" l="1"/>
  <c r="J16" i="1"/>
  <c r="K16" i="1"/>
  <c r="M16" i="1"/>
  <c r="N16" i="1" l="1"/>
  <c r="H16" i="1" l="1"/>
  <c r="H20" i="1" s="1"/>
  <c r="G16" i="1"/>
  <c r="F16" i="1"/>
  <c r="E16" i="1"/>
  <c r="D16" i="1"/>
  <c r="C16" i="1"/>
  <c r="B16" i="1"/>
  <c r="M29" i="1"/>
  <c r="L29" i="1"/>
  <c r="K29" i="1"/>
  <c r="J29" i="1"/>
  <c r="I29" i="1"/>
  <c r="H29" i="1"/>
  <c r="G29" i="1"/>
  <c r="F29" i="1"/>
  <c r="E29" i="1"/>
  <c r="D29" i="1"/>
  <c r="C29" i="1"/>
  <c r="B29" i="1"/>
  <c r="M25" i="1"/>
  <c r="L25" i="1"/>
  <c r="K25" i="1"/>
  <c r="J25" i="1"/>
  <c r="I25" i="1"/>
  <c r="H25" i="1"/>
  <c r="G25" i="1"/>
  <c r="F25" i="1"/>
  <c r="E25" i="1"/>
  <c r="D25" i="1"/>
  <c r="C25" i="1"/>
  <c r="B25" i="1"/>
  <c r="D7" i="1"/>
  <c r="C7" i="1"/>
  <c r="B7" i="1"/>
  <c r="M3" i="1"/>
  <c r="M20" i="1" s="1"/>
  <c r="L3" i="1"/>
  <c r="L20" i="1" s="1"/>
  <c r="K3" i="1"/>
  <c r="K20" i="1" s="1"/>
  <c r="J3" i="1"/>
  <c r="J20" i="1" s="1"/>
  <c r="I3" i="1"/>
  <c r="I20" i="1" s="1"/>
  <c r="G3" i="1"/>
  <c r="G20" i="1" s="1"/>
  <c r="F3" i="1"/>
  <c r="F20" i="1" s="1"/>
  <c r="E3" i="1"/>
  <c r="E20" i="1" s="1"/>
  <c r="D3" i="1"/>
  <c r="C3" i="1"/>
  <c r="B3" i="1"/>
  <c r="D20" i="1" l="1"/>
  <c r="C20" i="1"/>
  <c r="B20" i="1"/>
  <c r="N7" i="1"/>
  <c r="N3" i="1"/>
  <c r="N20" i="1" l="1"/>
  <c r="G18" i="3" s="1"/>
  <c r="E26" i="3" l="1"/>
</calcChain>
</file>

<file path=xl/sharedStrings.xml><?xml version="1.0" encoding="utf-8"?>
<sst xmlns="http://schemas.openxmlformats.org/spreadsheetml/2006/main" count="207" uniqueCount="163">
  <si>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</si>
  <si>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</si>
  <si>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</si>
  <si>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</si>
  <si>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</si>
  <si>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</si>
  <si>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</si>
  <si>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</si>
  <si>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</si>
  <si>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</si>
  <si>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</si>
  <si>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</si>
  <si>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AudioBooks</t>
  </si>
  <si>
    <t>MP3 Audiobook</t>
  </si>
  <si>
    <t>Total eBooks</t>
  </si>
  <si>
    <t>Adobe PDF</t>
  </si>
  <si>
    <t>Adobe EPUB</t>
  </si>
  <si>
    <t>Kindle Book</t>
  </si>
  <si>
    <t>Checkouts Grand Total</t>
  </si>
  <si>
    <t>counting each format of a title only once</t>
  </si>
  <si>
    <t>Audiobook</t>
  </si>
  <si>
    <t>eBook</t>
  </si>
  <si>
    <t>eBooks Checked Out but Never Downloaded</t>
  </si>
  <si>
    <t>Audiobooks Checked Out but Never Downloaded</t>
  </si>
  <si>
    <t>OverDrive Read</t>
  </si>
  <si>
    <t>OverDrive Listen</t>
  </si>
  <si>
    <t>MediaDo Reader</t>
  </si>
  <si>
    <t>Average Waiting Period (as of…)</t>
  </si>
  <si>
    <t>Holds by Format (as of…)</t>
  </si>
  <si>
    <t>All Holds Since Purchase (as of…)</t>
  </si>
  <si>
    <t>Audiobooks</t>
  </si>
  <si>
    <t>TOTAL TITLES</t>
  </si>
  <si>
    <t>TOTAL COPIES</t>
  </si>
  <si>
    <t>eBooks</t>
  </si>
  <si>
    <t>c i r c u l a t i o n s</t>
  </si>
  <si>
    <t>Wisconsin Schools Digital Library</t>
  </si>
  <si>
    <t>P A R T I C I P A T I O N</t>
  </si>
  <si>
    <t>Students</t>
  </si>
  <si>
    <t>Districts</t>
  </si>
  <si>
    <t>https://www.wils.org/wsdlc/</t>
  </si>
  <si>
    <t>h o l d s</t>
  </si>
  <si>
    <t>NUMBER of TITLES</t>
  </si>
  <si>
    <t>NUMBER of COPIES</t>
  </si>
  <si>
    <t>YTD CHECKOUTS</t>
  </si>
  <si>
    <t>CURRENT HOLDS</t>
  </si>
  <si>
    <t>Total Video</t>
  </si>
  <si>
    <t>Streaming Video</t>
  </si>
  <si>
    <t>Enrollment (as of…)</t>
  </si>
  <si>
    <t>Current</t>
  </si>
  <si>
    <t>Top 20 Titles With Holds</t>
  </si>
  <si>
    <t>Title</t>
  </si>
  <si>
    <t># Holds</t>
  </si>
  <si>
    <t>% of Districts on Sora</t>
  </si>
  <si>
    <t>The Hunger Games: The Hunger Games Series, Book 1 (unabridged)</t>
  </si>
  <si>
    <t>Open EPUB</t>
  </si>
  <si>
    <t>Kobo Ebook</t>
  </si>
  <si>
    <t>December 2021</t>
  </si>
  <si>
    <t>Guts: Smile Series, Book 3</t>
  </si>
  <si>
    <t>Sunny Makes a Splash: Sunny Series, Book 4</t>
  </si>
  <si>
    <t>The Last Kids on Earth and the Doomsday Race: The Last Kids on Earth Series, Book 7</t>
  </si>
  <si>
    <t>Absolutely Nat: Nat Enough Series, Book 3</t>
  </si>
  <si>
    <t>Among Us: 100% Unofficial Game Guide</t>
  </si>
  <si>
    <t>Treasure in the Lake</t>
  </si>
  <si>
    <t>Total Magazine</t>
  </si>
  <si>
    <t>OverDrive Magazine</t>
  </si>
  <si>
    <t>Big Shot: Diary of a Wimpy Kid Series, Book 16</t>
  </si>
  <si>
    <t>Cat Kid Comic Club, Issue 2</t>
  </si>
  <si>
    <t>An Ominous Threat: Diary of an 8-Bit Warrior Graphic Novel Series, Book 2</t>
  </si>
  <si>
    <t>Bad Kitty School Daze</t>
  </si>
  <si>
    <t>Minecraft, Volume 3</t>
  </si>
  <si>
    <t>Across the Desert</t>
  </si>
  <si>
    <t>The Smart Cookie</t>
  </si>
  <si>
    <t>Minecraft: Guide to Combat</t>
  </si>
  <si>
    <t>They're Bee-Hind You!: The Bad Guys Series, Book 14</t>
  </si>
  <si>
    <t>Brightest Night: Wings of Fire Graphic Novel Series, Book 5</t>
  </si>
  <si>
    <t>The Great Eggscape!</t>
  </si>
  <si>
    <t>Beautiful LEGO</t>
  </si>
  <si>
    <t>Minecraft: Guide to Creative (Updated)</t>
  </si>
  <si>
    <t>Circ through 2021</t>
  </si>
  <si>
    <t>Circulation Activity by Format by Month 2022 (includes circulation of titles and copies purchased outside of the Consortium by individual libraries and systems)</t>
  </si>
  <si>
    <t>Inception through January 31, 2022</t>
  </si>
  <si>
    <t>Inception through February 28, 2022</t>
  </si>
  <si>
    <t>Inception through March 31, 2022</t>
  </si>
  <si>
    <t>Inception through April 30, 2022</t>
  </si>
  <si>
    <t>Inception through May 31, 2022</t>
  </si>
  <si>
    <t>Inception through June 30, 2022</t>
  </si>
  <si>
    <t>Inception through July 31, 2022</t>
  </si>
  <si>
    <t>Inception through August 31, 2022</t>
  </si>
  <si>
    <t>Inception through September 30, 2022</t>
  </si>
  <si>
    <t>Inception through October 31, 2022</t>
  </si>
  <si>
    <t>Inception through November 30, 2022</t>
  </si>
  <si>
    <t>Inception through December 31, 2022</t>
  </si>
  <si>
    <t>Purchased Titles and Copies through 2022 (includes Consortium titles and copies only)</t>
  </si>
  <si>
    <t>Patrons with Checkouts 2022 (Unique/Month)</t>
  </si>
  <si>
    <t>December 2022</t>
  </si>
  <si>
    <t>September 2022</t>
  </si>
  <si>
    <t>June 2022</t>
  </si>
  <si>
    <t>March 2022</t>
  </si>
  <si>
    <t>2022 Year to Date Statistics</t>
  </si>
  <si>
    <t>2022 Total</t>
  </si>
  <si>
    <t>Felix the Shark: Five Nights at Freddy's: Fazbear Frights Series, Book 12</t>
  </si>
  <si>
    <t>Who Was Michael Jackson?</t>
  </si>
  <si>
    <t>The Adventures of Ook and Gluk, Kung-Fu Cavemen from the Future</t>
  </si>
  <si>
    <t>Inside the World of Roblox</t>
  </si>
  <si>
    <t>The Haunting</t>
  </si>
  <si>
    <t>Mei's Wild Ride</t>
  </si>
  <si>
    <t>Disney Encanto: The Graphic Novel (Disney Encanto)</t>
  </si>
  <si>
    <t>Hide and Don't Seek: And Other Very Scary Stories (unabridged)</t>
  </si>
  <si>
    <t>Lock the Doors</t>
  </si>
  <si>
    <t>WWE Ultimate Superstar Guide</t>
  </si>
  <si>
    <t>Drama</t>
  </si>
  <si>
    <t>Friends Are the Best!</t>
  </si>
  <si>
    <t>Naruto: Itachi's Story, Volume 1: Daylight</t>
  </si>
  <si>
    <t>Smile: Smile Series, Book 1</t>
  </si>
  <si>
    <t>Captain Underpants and the Sensational Saga of Sir Stinks-A-Lot: Captain Underpants Series, Book 12</t>
  </si>
  <si>
    <t>Marvel Studios: The First Ten Years: Reader Collection</t>
  </si>
  <si>
    <t>Fetch-22: Dog Man Series, Book 8</t>
  </si>
  <si>
    <t>Make Your Own Squishies: 15 Slow-Rise and Smooshy Projects for You To Create</t>
  </si>
  <si>
    <t>The Words We Keep</t>
  </si>
  <si>
    <t>I Survived the Attack of the Grizzlies, 1967: I Survived Graphic Novel Series, Book 5</t>
  </si>
  <si>
    <t>The Silver Eyes: Five Nights at Freddy's Graphic Novel Series, Book 1</t>
  </si>
  <si>
    <t>Remarkably Ruby: Emmie &amp; Friends Series, Book 6</t>
  </si>
  <si>
    <t>The Hidden Kingdom: Wings of Fire Graphic Novel Series, Book 3</t>
  </si>
  <si>
    <t>Big Nate Lives It Up</t>
  </si>
  <si>
    <t>Apple Crush: (A Graphic Novel)</t>
  </si>
  <si>
    <t>Sunny Rolls the Dice: Sunny Series, Book 3</t>
  </si>
  <si>
    <t>The Wolf in Underpants Freezes His Buns Off</t>
  </si>
  <si>
    <t>Aru Shah and the End of Time: Pandava Series, Book 1</t>
  </si>
  <si>
    <t>I Survived the Sinking of the Titanic, 1912: I Survived Graphic Novel Series, Book 1</t>
  </si>
  <si>
    <t>The Summer I Turned Pretty: The Summer I Turned Pretty Series, Book 1</t>
  </si>
  <si>
    <t>Big Nate in a Class by Himself: Big Nate Series, Book 1</t>
  </si>
  <si>
    <t>Disney/Pixar Turning Red: The Graphic Novel</t>
  </si>
  <si>
    <t>Peppa Plays Soccer</t>
  </si>
  <si>
    <t>Minecraft: Guide to Survival</t>
  </si>
  <si>
    <t>Jessi's Secret Language: The Baby-Sitters Club Graphix Series, Book 12</t>
  </si>
  <si>
    <t>Crunch: Click Graphic Series, Book 5</t>
  </si>
  <si>
    <t>Sisters: Smile Series, Book 2</t>
  </si>
  <si>
    <t>Fazbear Frights Graphic Novel Collection, Volume 1</t>
  </si>
  <si>
    <t>FORTNITE (Official): The Chronicle: All the Best Moments from Battle Royale</t>
  </si>
  <si>
    <t>The Final Gambit</t>
  </si>
  <si>
    <t>Hide and Don't Seek: And Other Very Scary Stories</t>
  </si>
  <si>
    <t>Spy School Project X</t>
  </si>
  <si>
    <t>Boy-Crazy Stacey: Baby-Sitters Club Graphix Series, Book 7</t>
  </si>
  <si>
    <t>Destined for Awesomeness: Big Nate TV Series Graphic Novel, Book 1</t>
  </si>
  <si>
    <t>Dog Man: Dog Man Series, Book 1</t>
  </si>
  <si>
    <t>Diper Överlöde: Diary of a Wimpy Kid Series, Book 17</t>
  </si>
  <si>
    <t>Collaborations: Cat Kid Comic Club Series, Book 4</t>
  </si>
  <si>
    <t>Mary Anne's Bad Luck Mystery: Baby-Sitters Club Graphix Series, Book 13</t>
  </si>
  <si>
    <t>Wings of Fire: Moon Rising: A Graphic Novel (Wings of Fire Graphic Novel #6)</t>
  </si>
  <si>
    <t>Karen's Birthday: Baby-Sitters Little Sister Graphic Novel Series, Book 6</t>
  </si>
  <si>
    <t>The Tryout: A Graphic Novel</t>
  </si>
  <si>
    <t>I Survived Hurricane Katrina, 2005: I Survived Graphic Novel Series, Book 6</t>
  </si>
  <si>
    <t>How to Catch a Snowman</t>
  </si>
  <si>
    <t>The Bad Guys in the Others?!: The Bad Guys Series, Episode 16</t>
  </si>
  <si>
    <t>Prank You Very Much</t>
  </si>
  <si>
    <t>Real Friends: Real Friends Series, Book 1</t>
  </si>
  <si>
    <t>Best Friends: Real Friends Series, Book 2</t>
  </si>
  <si>
    <t>Fiercest Feuds</t>
  </si>
  <si>
    <t>Hunger Games: The Hunger Games Series, Book 1 (unabridged)</t>
  </si>
  <si>
    <t>Release the Hounds!</t>
  </si>
  <si>
    <t>Logan Likes Mary Anne!: Baby-Sitters Club Graphix Series, Book 8</t>
  </si>
  <si>
    <t>Bad Sister</t>
  </si>
  <si>
    <t>A S  O F  01 / 02 / 2 0 2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</si>
</sst>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Georgia"/>
      <family val="1"/>
    </font>
    <font>
      <sz val="36"/>
      <color theme="1"/>
      <name val="Georgia"/>
      <family val="1"/>
    </font>
    <font>
      <b/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Georgia"/>
      <family val="1"/>
    </font>
    <font>
      <b/>
      <sz val="28"/>
      <color theme="1"/>
      <name val="Calibri"/>
      <family val="2"/>
      <scheme val="minor"/>
    </font>
    <font>
      <sz val="24"/>
      <color theme="1"/>
      <name val="Georgia"/>
      <family val="1"/>
    </font>
    <font>
      <sz val="14"/>
      <color theme="1"/>
      <name val="Georgia"/>
      <family val="1"/>
    </font>
    <font>
      <u/>
      <sz val="15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20"/>
      <color theme="1"/>
      <name val="Georgia"/>
      <family val="1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733"/>
        <bgColor indexed="64"/>
      </patternFill>
    </fill>
    <fill>
      <patternFill patternType="solid">
        <fgColor rgb="FF9ECDE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20">
    <xf numFmtId="0" fontId="0" fillId="0" borderId="0" xfId="0"/>
    <xf numFmtId="0" fontId="1" fillId="0" borderId="4" xfId="0" applyFont="1" applyBorder="1"/>
    <xf numFmtId="0" fontId="1" fillId="0" borderId="0" xfId="0" applyFont="1"/>
    <xf numFmtId="3" fontId="1" fillId="0" borderId="0" xfId="0" applyNumberFormat="1" applyFont="1"/>
    <xf numFmtId="3" fontId="1" fillId="0" borderId="5" xfId="0" applyNumberFormat="1" applyFont="1" applyBorder="1"/>
    <xf numFmtId="0" fontId="0" fillId="2" borderId="4" xfId="0" applyFill="1" applyBorder="1" applyAlignment="1">
      <alignment horizontal="right"/>
    </xf>
    <xf numFmtId="3" fontId="0" fillId="2" borderId="0" xfId="0" applyNumberFormat="1" applyFill="1"/>
    <xf numFmtId="0" fontId="1" fillId="0" borderId="6" xfId="0" applyFont="1" applyBorder="1"/>
    <xf numFmtId="3" fontId="1" fillId="0" borderId="7" xfId="0" applyNumberFormat="1" applyFont="1" applyBorder="1"/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 applyAlignment="1">
      <alignment horizontal="center"/>
    </xf>
    <xf numFmtId="3" fontId="0" fillId="2" borderId="5" xfId="0" applyNumberFormat="1" applyFill="1" applyBorder="1"/>
    <xf numFmtId="0" fontId="0" fillId="0" borderId="3" xfId="0" applyBorder="1"/>
    <xf numFmtId="3" fontId="0" fillId="0" borderId="0" xfId="0" applyNumberFormat="1"/>
    <xf numFmtId="0" fontId="1" fillId="0" borderId="4" xfId="0" applyFont="1" applyBorder="1" applyAlignment="1">
      <alignment horizontal="left"/>
    </xf>
    <xf numFmtId="14" fontId="0" fillId="0" borderId="4" xfId="0" applyNumberFormat="1" applyBorder="1"/>
    <xf numFmtId="14" fontId="0" fillId="0" borderId="6" xfId="0" applyNumberFormat="1" applyBorder="1"/>
    <xf numFmtId="0" fontId="2" fillId="0" borderId="1" xfId="0" applyFont="1" applyBorder="1"/>
    <xf numFmtId="14" fontId="1" fillId="0" borderId="2" xfId="0" applyNumberFormat="1" applyFont="1" applyBorder="1"/>
    <xf numFmtId="14" fontId="1" fillId="0" borderId="3" xfId="0" applyNumberFormat="1" applyFont="1" applyBorder="1"/>
    <xf numFmtId="1" fontId="0" fillId="0" borderId="5" xfId="0" applyNumberFormat="1" applyBorder="1"/>
    <xf numFmtId="0" fontId="1" fillId="0" borderId="2" xfId="0" applyFont="1" applyBorder="1"/>
    <xf numFmtId="14" fontId="0" fillId="0" borderId="0" xfId="0" applyNumberFormat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0" xfId="1" applyNumberFormat="1" applyFont="1"/>
    <xf numFmtId="164" fontId="0" fillId="0" borderId="0" xfId="0" applyNumberFormat="1"/>
    <xf numFmtId="14" fontId="1" fillId="0" borderId="4" xfId="0" applyNumberFormat="1" applyFont="1" applyBorder="1"/>
    <xf numFmtId="164" fontId="0" fillId="0" borderId="4" xfId="1" applyNumberFormat="1" applyFont="1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7" fillId="4" borderId="0" xfId="0" applyFont="1" applyFill="1"/>
    <xf numFmtId="0" fontId="11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3" fontId="14" fillId="4" borderId="0" xfId="0" applyNumberFormat="1" applyFont="1" applyFill="1" applyAlignment="1">
      <alignment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3" fontId="17" fillId="4" borderId="0" xfId="0" applyNumberFormat="1" applyFont="1" applyFill="1"/>
    <xf numFmtId="0" fontId="18" fillId="4" borderId="0" xfId="0" applyFont="1" applyFill="1"/>
    <xf numFmtId="0" fontId="0" fillId="4" borderId="12" xfId="0" applyFill="1" applyBorder="1"/>
    <xf numFmtId="0" fontId="0" fillId="4" borderId="13" xfId="0" applyFill="1" applyBorder="1"/>
    <xf numFmtId="3" fontId="17" fillId="4" borderId="13" xfId="0" applyNumberFormat="1" applyFont="1" applyFill="1" applyBorder="1"/>
    <xf numFmtId="0" fontId="0" fillId="4" borderId="14" xfId="0" applyFill="1" applyBorder="1"/>
    <xf numFmtId="0" fontId="0" fillId="4" borderId="15" xfId="0" applyFill="1" applyBorder="1"/>
    <xf numFmtId="0" fontId="19" fillId="4" borderId="0" xfId="0" applyFont="1" applyFill="1"/>
    <xf numFmtId="14" fontId="1" fillId="0" borderId="0" xfId="0" applyNumberFormat="1" applyFont="1"/>
    <xf numFmtId="164" fontId="0" fillId="0" borderId="5" xfId="1" applyNumberFormat="1" applyFont="1" applyBorder="1"/>
    <xf numFmtId="164" fontId="0" fillId="0" borderId="8" xfId="1" applyNumberFormat="1" applyFont="1" applyBorder="1"/>
    <xf numFmtId="0" fontId="1" fillId="0" borderId="3" xfId="0" applyFont="1" applyBorder="1"/>
    <xf numFmtId="3" fontId="0" fillId="0" borderId="5" xfId="0" applyNumberFormat="1" applyBorder="1"/>
    <xf numFmtId="0" fontId="0" fillId="0" borderId="5" xfId="0" applyBorder="1" applyAlignment="1">
      <alignment horizontal="center"/>
    </xf>
    <xf numFmtId="164" fontId="0" fillId="0" borderId="0" xfId="1" applyNumberFormat="1" applyFont="1" applyBorder="1"/>
    <xf numFmtId="9" fontId="0" fillId="0" borderId="7" xfId="3" applyFont="1" applyBorder="1"/>
    <xf numFmtId="9" fontId="0" fillId="0" borderId="8" xfId="3" applyFont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5" borderId="4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6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5" borderId="7" xfId="0" applyFill="1" applyBorder="1" applyAlignment="1">
      <alignment wrapText="1"/>
    </xf>
    <xf numFmtId="0" fontId="0" fillId="5" borderId="8" xfId="0" applyFill="1" applyBorder="1" applyAlignment="1">
      <alignment horizontal="center" vertical="center" wrapText="1"/>
    </xf>
    <xf numFmtId="14" fontId="0" fillId="0" borderId="7" xfId="0" applyNumberFormat="1" applyBorder="1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wrapText="1"/>
    </xf>
    <xf numFmtId="9" fontId="0" fillId="0" borderId="0" xfId="3" applyFont="1"/>
    <xf numFmtId="0" fontId="0" fillId="0" borderId="4" xfId="0" applyFill="1" applyBorder="1" applyAlignment="1">
      <alignment wrapText="1"/>
    </xf>
    <xf numFmtId="49" fontId="21" fillId="5" borderId="4" xfId="0" applyNumberFormat="1" applyFont="1" applyFill="1" applyBorder="1" applyAlignment="1">
      <alignment horizontal="center" vertical="center"/>
    </xf>
    <xf numFmtId="49" fontId="21" fillId="5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10" fillId="4" borderId="12" xfId="2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3" fontId="17" fillId="4" borderId="0" xfId="0" applyNumberFormat="1" applyFont="1" applyFill="1" applyAlignment="1">
      <alignment horizontal="center" vertical="center"/>
    </xf>
    <xf numFmtId="3" fontId="20" fillId="4" borderId="0" xfId="0" applyNumberFormat="1" applyFont="1" applyFill="1" applyAlignment="1">
      <alignment horizontal="right" indent="1"/>
    </xf>
    <xf numFmtId="0" fontId="12" fillId="4" borderId="0" xfId="0" applyFont="1" applyFill="1" applyAlignment="1">
      <alignment horizontal="right" vertical="top" indent="1"/>
    </xf>
    <xf numFmtId="3" fontId="20" fillId="4" borderId="4" xfId="0" applyNumberFormat="1" applyFont="1" applyFill="1" applyBorder="1" applyAlignment="1">
      <alignment horizontal="left" indent="1"/>
    </xf>
    <xf numFmtId="3" fontId="20" fillId="4" borderId="0" xfId="0" applyNumberFormat="1" applyFont="1" applyFill="1" applyAlignment="1">
      <alignment horizontal="left" indent="1"/>
    </xf>
    <xf numFmtId="0" fontId="12" fillId="4" borderId="4" xfId="0" applyFont="1" applyFill="1" applyBorder="1" applyAlignment="1">
      <alignment horizontal="left" vertical="top" indent="1"/>
    </xf>
    <xf numFmtId="0" fontId="12" fillId="4" borderId="0" xfId="0" applyFont="1" applyFill="1" applyAlignment="1">
      <alignment horizontal="left" vertical="top" inden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9ECDE9"/>
      <color rgb="FFFFD733"/>
      <color rgb="FFFFFFCC"/>
      <color rgb="FFC3B393"/>
      <color rgb="FF6C7755"/>
      <color rgb="FFFFF8E5"/>
      <color rgb="FFEBB99D"/>
      <color rgb="FF9DA78A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Patrons with Checkouts</a:t>
            </a:r>
            <a:r>
              <a:rPr lang="en-US" sz="1600" baseline="0"/>
              <a:t> 2022 by Month (avg/day)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Statistics!$B$39:$B$50</c:f>
              <c:strCache>
                <c:ptCount val="12"/>
                <c:pt idx="0">
                  <c:v>860</c:v>
                </c:pt>
                <c:pt idx="1">
                  <c:v>947</c:v>
                </c:pt>
                <c:pt idx="2">
                  <c:v>882</c:v>
                </c:pt>
                <c:pt idx="3">
                  <c:v>927</c:v>
                </c:pt>
                <c:pt idx="4">
                  <c:v>1052</c:v>
                </c:pt>
                <c:pt idx="5">
                  <c:v>339</c:v>
                </c:pt>
                <c:pt idx="6">
                  <c:v>95</c:v>
                </c:pt>
                <c:pt idx="7">
                  <c:v>121</c:v>
                </c:pt>
                <c:pt idx="8">
                  <c:v>980</c:v>
                </c:pt>
                <c:pt idx="9">
                  <c:v>961</c:v>
                </c:pt>
                <c:pt idx="10">
                  <c:v>1039</c:v>
                </c:pt>
                <c:pt idx="11">
                  <c:v>815</c:v>
                </c:pt>
              </c:strCache>
            </c:strRef>
          </c:tx>
          <c:invertIfNegative val="0"/>
          <c:cat>
            <c:strRef>
              <c:f>Statistics!$A$39:$A$50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Statistics!$B$39:$B$50</c:f>
              <c:numCache>
                <c:formatCode>0</c:formatCode>
                <c:ptCount val="12"/>
                <c:pt idx="0">
                  <c:v>860</c:v>
                </c:pt>
                <c:pt idx="1">
                  <c:v>946.89285714285711</c:v>
                </c:pt>
                <c:pt idx="2">
                  <c:v>881.67741935483866</c:v>
                </c:pt>
                <c:pt idx="3">
                  <c:v>927.26666666666665</c:v>
                </c:pt>
                <c:pt idx="4">
                  <c:v>1052.1612903225807</c:v>
                </c:pt>
                <c:pt idx="5">
                  <c:v>339.43333333333334</c:v>
                </c:pt>
                <c:pt idx="6">
                  <c:v>94.870967741935488</c:v>
                </c:pt>
                <c:pt idx="7">
                  <c:v>121.48387096774194</c:v>
                </c:pt>
                <c:pt idx="8">
                  <c:v>979.9</c:v>
                </c:pt>
                <c:pt idx="9">
                  <c:v>960.74193548387098</c:v>
                </c:pt>
                <c:pt idx="10">
                  <c:v>1039.0999999999999</c:v>
                </c:pt>
                <c:pt idx="11">
                  <c:v>814.83870967741939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A-4065-A71A-877C094D7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770496"/>
        <c:axId val="402768144"/>
      </c:barChart>
      <c:catAx>
        <c:axId val="402770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2768144"/>
        <c:crosses val="autoZero"/>
        <c:auto val="1"/>
        <c:lblAlgn val="ctr"/>
        <c:lblOffset val="100"/>
        <c:noMultiLvlLbl val="0"/>
      </c:catAx>
      <c:valAx>
        <c:axId val="402768144"/>
        <c:scaling>
          <c:orientation val="minMax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40277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Average Waiting Period (as of…)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Statistics!$B$61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Statistics!$A$62:$A$73</c:f>
              <c:numCache>
                <c:formatCode>m/d/yyyy</c:formatCode>
                <c:ptCount val="1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44683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44837</c:v>
                </c:pt>
                <c:pt idx="9">
                  <c:v>44866</c:v>
                </c:pt>
                <c:pt idx="10">
                  <c:v>44896</c:v>
                </c:pt>
                <c:pt idx="11">
                  <c:v>44928</c:v>
                </c:pt>
              </c:numCache>
            </c:numRef>
          </c:cat>
          <c:val>
            <c:numRef>
              <c:f>Statistics!$B$62:$B$73</c:f>
              <c:numCache>
                <c:formatCode>General</c:formatCode>
                <c:ptCount val="12"/>
                <c:pt idx="0">
                  <c:v>13.48</c:v>
                </c:pt>
                <c:pt idx="1">
                  <c:v>13.26</c:v>
                </c:pt>
                <c:pt idx="2">
                  <c:v>14.25</c:v>
                </c:pt>
                <c:pt idx="3">
                  <c:v>11.3</c:v>
                </c:pt>
                <c:pt idx="4">
                  <c:v>15.75</c:v>
                </c:pt>
                <c:pt idx="5">
                  <c:v>41.37</c:v>
                </c:pt>
                <c:pt idx="6">
                  <c:v>61.38</c:v>
                </c:pt>
                <c:pt idx="7">
                  <c:v>38.369999999999997</c:v>
                </c:pt>
                <c:pt idx="8">
                  <c:v>12.1</c:v>
                </c:pt>
                <c:pt idx="9">
                  <c:v>14.75</c:v>
                </c:pt>
                <c:pt idx="10">
                  <c:v>15.36</c:v>
                </c:pt>
                <c:pt idx="11">
                  <c:v>23.51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B-4708-81CE-7B692AAB18C3}"/>
            </c:ext>
          </c:extLst>
        </c:ser>
        <c:ser>
          <c:idx val="1"/>
          <c:order val="1"/>
          <c:tx>
            <c:strRef>
              <c:f>Statistics!$C$61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Statistics!$A$62:$A$73</c:f>
              <c:numCache>
                <c:formatCode>m/d/yyyy</c:formatCode>
                <c:ptCount val="1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44683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44837</c:v>
                </c:pt>
                <c:pt idx="9">
                  <c:v>44866</c:v>
                </c:pt>
                <c:pt idx="10">
                  <c:v>44896</c:v>
                </c:pt>
                <c:pt idx="11">
                  <c:v>44928</c:v>
                </c:pt>
              </c:numCache>
            </c:numRef>
          </c:cat>
          <c:val>
            <c:numRef>
              <c:f>Statistics!$C$62:$C$73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77E8-48FC-97CC-127C7DA88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765792"/>
        <c:axId val="402767360"/>
      </c:barChart>
      <c:catAx>
        <c:axId val="402765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2022 Collection Size (Titles/Copies)</a:t>
            </a:r>
          </a:p>
        </c:rich>
      </c:tx>
      <c:layout>
        <c:manualLayout>
          <c:xMode val="edge"/>
          <c:yMode val="edge"/>
          <c:x val="0.2539374453193351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Statistics!$A$25</c:f>
              <c:strCache>
                <c:ptCount val="1"/>
                <c:pt idx="0">
                  <c:v>TOTAL TITLES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Statistics!$B$2:$M$2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Statistics!$B$25:$M$25</c:f>
              <c:numCache>
                <c:formatCode>#,##0</c:formatCode>
                <c:ptCount val="12"/>
                <c:pt idx="0">
                  <c:v>13338</c:v>
                </c:pt>
                <c:pt idx="1">
                  <c:v>13630</c:v>
                </c:pt>
                <c:pt idx="2">
                  <c:v>15382</c:v>
                </c:pt>
                <c:pt idx="3">
                  <c:v>15342</c:v>
                </c:pt>
                <c:pt idx="4">
                  <c:v>15435</c:v>
                </c:pt>
                <c:pt idx="5">
                  <c:v>15686</c:v>
                </c:pt>
                <c:pt idx="6">
                  <c:v>15549</c:v>
                </c:pt>
                <c:pt idx="7">
                  <c:v>15542</c:v>
                </c:pt>
                <c:pt idx="8">
                  <c:v>16052</c:v>
                </c:pt>
                <c:pt idx="9">
                  <c:v>16950</c:v>
                </c:pt>
                <c:pt idx="10">
                  <c:v>17050</c:v>
                </c:pt>
                <c:pt idx="11">
                  <c:v>17115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6-4B45-A6E5-2235E417177D}"/>
            </c:ext>
          </c:extLst>
        </c:ser>
        <c:ser>
          <c:idx val="1"/>
          <c:order val="1"/>
          <c:tx>
            <c:strRef>
              <c:f>Statistics!$A$29</c:f>
              <c:strCache>
                <c:ptCount val="1"/>
                <c:pt idx="0">
                  <c:v>TOTAL COPIES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Statistics!$B$2:$M$2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Statistics!$B$29:$M$29</c:f>
              <c:numCache>
                <c:formatCode>#,##0</c:formatCode>
                <c:ptCount val="12"/>
                <c:pt idx="0">
                  <c:v>49238</c:v>
                </c:pt>
                <c:pt idx="1">
                  <c:v>52205</c:v>
                </c:pt>
                <c:pt idx="2">
                  <c:v>52066</c:v>
                </c:pt>
                <c:pt idx="3">
                  <c:v>51217</c:v>
                </c:pt>
                <c:pt idx="4">
                  <c:v>50266</c:v>
                </c:pt>
                <c:pt idx="5">
                  <c:v>50104</c:v>
                </c:pt>
                <c:pt idx="6">
                  <c:v>49717</c:v>
                </c:pt>
                <c:pt idx="7">
                  <c:v>44253</c:v>
                </c:pt>
                <c:pt idx="8">
                  <c:v>50409</c:v>
                </c:pt>
                <c:pt idx="9">
                  <c:v>52196</c:v>
                </c:pt>
                <c:pt idx="10">
                  <c:v>53887</c:v>
                </c:pt>
                <c:pt idx="11">
                  <c:v>53558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E6-4B45-A6E5-2235E4171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989000"/>
        <c:axId val="628997200"/>
      </c:barChart>
      <c:catAx>
        <c:axId val="62898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997200"/>
        <c:crosses val="autoZero"/>
        <c:auto val="1"/>
        <c:lblAlgn val="ctr"/>
        <c:lblOffset val="100"/>
        <c:noMultiLvlLbl val="0"/>
      </c:catAx>
      <c:valAx>
        <c:axId val="62899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989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2022 Circulation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Statistics!$B$2:$M$2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Statistics!$B$20:$M$20</c:f>
              <c:numCache>
                <c:formatCode>#,##0</c:formatCode>
                <c:ptCount val="12"/>
                <c:pt idx="0">
                  <c:v>133377</c:v>
                </c:pt>
                <c:pt idx="1">
                  <c:v>129392</c:v>
                </c:pt>
                <c:pt idx="2">
                  <c:v>130726</c:v>
                </c:pt>
                <c:pt idx="3">
                  <c:v>137294</c:v>
                </c:pt>
                <c:pt idx="4">
                  <c:v>163308</c:v>
                </c:pt>
                <c:pt idx="5">
                  <c:v>37468</c:v>
                </c:pt>
                <c:pt idx="6">
                  <c:v>14744</c:v>
                </c:pt>
                <c:pt idx="7">
                  <c:v>16258</c:v>
                </c:pt>
                <c:pt idx="8">
                  <c:v>131192</c:v>
                </c:pt>
                <c:pt idx="9">
                  <c:v>139481</c:v>
                </c:pt>
                <c:pt idx="10">
                  <c:v>140258</c:v>
                </c:pt>
                <c:pt idx="11">
                  <c:v>103478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F-4AD4-AF84-C785EE056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8681416"/>
        <c:axId val="688689288"/>
      </c:barChart>
      <c:catAx>
        <c:axId val="68868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689288"/>
        <c:crosses val="autoZero"/>
        <c:auto val="1"/>
        <c:lblAlgn val="ctr"/>
        <c:lblOffset val="100"/>
        <c:noMultiLvlLbl val="0"/>
      </c:catAx>
      <c:valAx>
        <c:axId val="688689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681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37</xdr:row>
      <xdr:rowOff>9525</xdr:rowOff>
    </xdr:from>
    <xdr:to>
      <xdr:col>8</xdr:col>
      <xdr:colOff>180975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557174</xdr:colOff>
      <xdr:row>58</xdr:row>
      <xdr:rowOff>127906</xdr:rowOff>
    </xdr:from>
    <xdr:to>
      <xdr:col>9</xdr:col>
      <xdr:colOff>903514</xdr:colOff>
      <xdr:row>72</xdr:row>
      <xdr:rowOff>131293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101600</xdr:colOff>
      <xdr:row>23</xdr:row>
      <xdr:rowOff>88900</xdr:rowOff>
    </xdr:from>
    <xdr:to>
      <xdr:col>20</xdr:col>
      <xdr:colOff>635000</xdr:colOff>
      <xdr:row>34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FD9930-6E55-474E-81CC-A7B9599D3D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292100</xdr:colOff>
      <xdr:row>1</xdr:row>
      <xdr:rowOff>63500</xdr:rowOff>
    </xdr:from>
    <xdr:to>
      <xdr:col>24</xdr:col>
      <xdr:colOff>330200</xdr:colOff>
      <xdr:row>19</xdr:row>
      <xdr:rowOff>139700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519AEBB-586B-4871-9CA3-8B2CF3FE81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3239</xdr:colOff>
      <xdr:row>5</xdr:row>
      <xdr:rowOff>147023</xdr:rowOff>
    </xdr:from>
    <xdr:to>
      <xdr:col>3</xdr:col>
      <xdr:colOff>326764</xdr:colOff>
      <xdr:row>13</xdr:row>
      <xdr:rowOff>23993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0A65F2B-74D0-4479-BB90-F6B43DCC1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518" y="1080847"/>
          <a:ext cx="1374114" cy="1389390"/>
        </a:xfrm>
        <a:prstGeom prst="rect">
          <a:avLst/>
        </a:prstGeom>
      </xdr:spPr>
    </xdr:pic>
    <xdr:clientData/>
  </xdr:twoCellAnchor>
  <xdr:twoCellAnchor editAs="oneCell">
    <xdr:from>
      <xdr:col>0</xdr:col>
      <xdr:colOff>270809</xdr:colOff>
      <xdr:row>25</xdr:row>
      <xdr:rowOff>118465</xdr:rowOff>
    </xdr:from>
    <xdr:to>
      <xdr:col>4</xdr:col>
      <xdr:colOff>74704</xdr:colOff>
      <xdr:row>30</xdr:row>
      <xdr:rowOff>23629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A2C0830-978F-451A-83CA-EA92F97AF9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57" r="15429"/>
        <a:stretch/>
      </xdr:blipFill>
      <xdr:spPr>
        <a:xfrm>
          <a:off x="270809" y="4824936"/>
          <a:ext cx="1933013" cy="821207"/>
        </a:xfrm>
        <a:prstGeom prst="rect">
          <a:avLst/>
        </a:prstGeom>
      </xdr:spPr>
    </xdr:pic>
    <xdr:clientData/>
  </xdr:twoCellAnchor>
  <xdr:oneCellAnchor>
    <xdr:from>
      <xdr:col>6</xdr:col>
      <xdr:colOff>379409</xdr:colOff>
      <xdr:row>8</xdr:row>
      <xdr:rowOff>32823</xdr:rowOff>
    </xdr:from>
    <xdr:ext cx="404807" cy="574162"/>
    <xdr:pic>
      <xdr:nvPicPr>
        <xdr:cNvPr id="18" name="Picture 17">
          <a:extLst>
            <a:ext uri="{FF2B5EF4-FFF2-40B4-BE49-F238E27FC236}">
              <a16:creationId xmlns:a16="http://schemas.microsoft.com/office/drawing/2014/main" id="{FD960564-F779-46B4-BC4A-5B4D6C7EDC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99"/>
        <a:stretch/>
      </xdr:blipFill>
      <xdr:spPr>
        <a:xfrm>
          <a:off x="3573085" y="1526941"/>
          <a:ext cx="404807" cy="5741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ils.org/wsdl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8"/>
  <sheetViews>
    <sheetView tabSelected="1" topLeftCell="C1" zoomScale="60" zoomScaleNormal="60" workbookViewId="0">
      <selection activeCell="N20" sqref="N20"/>
    </sheetView>
  </sheetViews>
  <sheetFormatPr defaultRowHeight="15" x14ac:dyDescent="0.25"/>
  <cols>
    <col min="1" max="1" width="42.7109375" bestFit="1" customWidth="1"/>
    <col min="2" max="13" width="13.7109375" customWidth="1"/>
    <col min="14" max="14" width="12.7109375" bestFit="1" customWidth="1"/>
    <col min="15" max="15" width="9.28515625"/>
    <col min="16" max="16" width="9.28515625" customWidth="1"/>
    <col min="17" max="17" width="11.42578125" customWidth="1"/>
    <col min="18" max="77" width="9.28515625"/>
  </cols>
  <sheetData>
    <row r="1" spans="1:15" ht="21" x14ac:dyDescent="0.35">
      <c r="A1" s="81" t="s">
        <v>79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19"/>
    </row>
    <row r="2" spans="1: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17" t="s">
        <v>99</v>
      </c>
    </row>
    <row r="3" spans="1:15" x14ac:dyDescent="0.25">
      <c r="A3" s="1" t="s">
        <v>12</v>
      </c>
      <c r="B3" s="3">
        <f t="shared" ref="B3:M3" si="0">SUM(B4:B6)</f>
        <v>16752</v>
      </c>
      <c r="C3" s="3">
        <f t="shared" si="0"/>
        <v>14917</v>
      </c>
      <c r="D3" s="3">
        <f t="shared" si="0"/>
        <v>15515</v>
      </c>
      <c r="E3" s="3">
        <f t="shared" si="0"/>
        <v>14970</v>
      </c>
      <c r="F3" s="3">
        <f t="shared" si="0"/>
        <v>17450</v>
      </c>
      <c r="G3" s="3">
        <f t="shared" si="0"/>
        <v>5550</v>
      </c>
      <c r="H3" s="3">
        <f>SUM(H4:H6)</f>
        <v>3268</v>
      </c>
      <c r="I3" s="3">
        <f t="shared" si="0"/>
        <v>3974</v>
      </c>
      <c r="J3" s="3">
        <f t="shared" si="0"/>
        <v>15785</v>
      </c>
      <c r="K3" s="3">
        <f t="shared" si="0"/>
        <v>17799</v>
      </c>
      <c r="L3" s="3">
        <f t="shared" si="0"/>
        <v>20628</v>
      </c>
      <c r="M3" s="3">
        <f t="shared" si="0"/>
        <v>14791</v>
      </c>
      <c r="N3" s="4">
        <f>SUM(B3:M3)</f>
        <v>161399</v>
      </c>
    </row>
    <row r="4" spans="1:15" x14ac:dyDescent="0.25">
      <c r="A4" s="5" t="s">
        <v>13</v>
      </c>
      <c r="B4" s="6">
        <v>68</v>
      </c>
      <c r="C4" s="6">
        <v>88</v>
      </c>
      <c r="D4" s="6">
        <v>76</v>
      </c>
      <c r="E4" s="6">
        <v>86</v>
      </c>
      <c r="F4" s="6">
        <v>60</v>
      </c>
      <c r="G4" s="6">
        <v>52</v>
      </c>
      <c r="H4" s="6">
        <v>56</v>
      </c>
      <c r="I4" s="6">
        <v>54</v>
      </c>
      <c r="J4" s="6">
        <v>61</v>
      </c>
      <c r="K4" s="6">
        <v>40</v>
      </c>
      <c r="L4" s="6">
        <v>0</v>
      </c>
      <c r="M4" s="6">
        <v>0</v>
      </c>
      <c r="N4" s="18"/>
      <c r="O4" s="20"/>
    </row>
    <row r="5" spans="1:15" x14ac:dyDescent="0.25">
      <c r="A5" s="5" t="s">
        <v>25</v>
      </c>
      <c r="B5" s="6">
        <v>16487</v>
      </c>
      <c r="C5" s="6">
        <v>14671</v>
      </c>
      <c r="D5" s="6">
        <v>15301</v>
      </c>
      <c r="E5" s="6">
        <v>14721</v>
      </c>
      <c r="F5" s="6">
        <v>17291</v>
      </c>
      <c r="G5" s="6">
        <v>5477</v>
      </c>
      <c r="H5" s="6">
        <v>3195</v>
      </c>
      <c r="I5" s="6">
        <v>3303</v>
      </c>
      <c r="J5" s="6">
        <v>15599</v>
      </c>
      <c r="K5" s="6">
        <v>17424</v>
      </c>
      <c r="L5" s="6">
        <v>18949</v>
      </c>
      <c r="M5" s="6">
        <v>14715</v>
      </c>
      <c r="N5" s="18"/>
      <c r="O5" s="20"/>
    </row>
    <row r="6" spans="1:15" x14ac:dyDescent="0.25">
      <c r="A6" s="5" t="s">
        <v>23</v>
      </c>
      <c r="B6" s="6">
        <v>197</v>
      </c>
      <c r="C6" s="6">
        <v>158</v>
      </c>
      <c r="D6" s="6">
        <v>138</v>
      </c>
      <c r="E6" s="6">
        <v>163</v>
      </c>
      <c r="F6" s="6">
        <v>99</v>
      </c>
      <c r="G6" s="6">
        <v>21</v>
      </c>
      <c r="H6" s="6">
        <v>17</v>
      </c>
      <c r="I6" s="6">
        <v>617</v>
      </c>
      <c r="J6" s="6">
        <v>125</v>
      </c>
      <c r="K6" s="6">
        <v>335</v>
      </c>
      <c r="L6" s="6">
        <v>1679</v>
      </c>
      <c r="M6" s="6">
        <v>76</v>
      </c>
      <c r="N6" s="18"/>
      <c r="O6" s="20"/>
    </row>
    <row r="7" spans="1:15" x14ac:dyDescent="0.25">
      <c r="A7" s="1" t="s">
        <v>14</v>
      </c>
      <c r="B7" s="3">
        <f t="shared" ref="B7:D7" si="1">SUM(B8:B15)</f>
        <v>114792</v>
      </c>
      <c r="C7" s="3">
        <f t="shared" si="1"/>
        <v>112754</v>
      </c>
      <c r="D7" s="3">
        <f t="shared" si="1"/>
        <v>113749</v>
      </c>
      <c r="E7" s="3">
        <f>SUM(E8:E15)</f>
        <v>120938</v>
      </c>
      <c r="F7" s="3">
        <f t="shared" ref="F7:M7" si="2">SUM(F8:F15)</f>
        <v>144072</v>
      </c>
      <c r="G7" s="3">
        <f t="shared" si="2"/>
        <v>31472</v>
      </c>
      <c r="H7" s="3">
        <f>SUM(H8:H15)</f>
        <v>11269</v>
      </c>
      <c r="I7" s="3">
        <f t="shared" si="2"/>
        <v>12022</v>
      </c>
      <c r="J7" s="3">
        <f t="shared" si="2"/>
        <v>112996</v>
      </c>
      <c r="K7" s="3">
        <f t="shared" si="2"/>
        <v>119249</v>
      </c>
      <c r="L7" s="3">
        <f t="shared" si="2"/>
        <v>116584</v>
      </c>
      <c r="M7" s="3">
        <f t="shared" si="2"/>
        <v>86832</v>
      </c>
      <c r="N7" s="4">
        <f>SUM(B7:M7)</f>
        <v>1096729</v>
      </c>
    </row>
    <row r="8" spans="1:15" x14ac:dyDescent="0.25">
      <c r="A8" s="5" t="s">
        <v>15</v>
      </c>
      <c r="B8" s="6">
        <v>2</v>
      </c>
      <c r="C8" s="6">
        <v>8</v>
      </c>
      <c r="D8" s="6">
        <v>3</v>
      </c>
      <c r="E8" s="6">
        <v>0</v>
      </c>
      <c r="F8" s="6">
        <v>0</v>
      </c>
      <c r="G8" s="6">
        <v>0</v>
      </c>
      <c r="H8" s="6">
        <v>0</v>
      </c>
      <c r="I8" s="6">
        <v>1</v>
      </c>
      <c r="J8" s="6">
        <v>1</v>
      </c>
      <c r="K8" s="6">
        <v>4</v>
      </c>
      <c r="L8" s="6">
        <v>0</v>
      </c>
      <c r="M8" s="6">
        <v>0</v>
      </c>
      <c r="N8" s="18"/>
      <c r="O8" s="20"/>
    </row>
    <row r="9" spans="1:15" x14ac:dyDescent="0.25">
      <c r="A9" s="5" t="s">
        <v>16</v>
      </c>
      <c r="B9" s="6">
        <v>43</v>
      </c>
      <c r="C9" s="6">
        <v>41</v>
      </c>
      <c r="D9" s="6">
        <v>29</v>
      </c>
      <c r="E9" s="6">
        <v>22</v>
      </c>
      <c r="F9" s="6">
        <v>21</v>
      </c>
      <c r="G9" s="6">
        <v>16</v>
      </c>
      <c r="H9" s="6">
        <v>20</v>
      </c>
      <c r="I9" s="6">
        <v>11</v>
      </c>
      <c r="J9" s="6">
        <v>20</v>
      </c>
      <c r="K9" s="6">
        <v>14</v>
      </c>
      <c r="L9" s="6">
        <v>0</v>
      </c>
      <c r="M9" s="6">
        <v>0</v>
      </c>
      <c r="N9" s="18"/>
      <c r="O9" s="20"/>
    </row>
    <row r="10" spans="1:15" x14ac:dyDescent="0.25">
      <c r="A10" s="5" t="s">
        <v>17</v>
      </c>
      <c r="B10" s="6">
        <v>386</v>
      </c>
      <c r="C10" s="6">
        <v>389</v>
      </c>
      <c r="D10" s="6">
        <v>490</v>
      </c>
      <c r="E10" s="6">
        <v>440</v>
      </c>
      <c r="F10" s="6">
        <v>434</v>
      </c>
      <c r="G10" s="6">
        <v>280</v>
      </c>
      <c r="H10" s="6">
        <v>252</v>
      </c>
      <c r="I10" s="6">
        <v>237</v>
      </c>
      <c r="J10" s="6">
        <v>343</v>
      </c>
      <c r="K10" s="6">
        <v>379</v>
      </c>
      <c r="L10" s="6">
        <v>314</v>
      </c>
      <c r="M10" s="6">
        <v>306</v>
      </c>
      <c r="N10" s="18"/>
      <c r="O10" s="20"/>
    </row>
    <row r="11" spans="1:15" x14ac:dyDescent="0.25">
      <c r="A11" s="5" t="s">
        <v>55</v>
      </c>
      <c r="B11" s="6">
        <v>0</v>
      </c>
      <c r="C11" s="6">
        <v>0</v>
      </c>
      <c r="D11" s="6">
        <v>0</v>
      </c>
      <c r="E11" s="6">
        <v>0</v>
      </c>
      <c r="F11" s="6">
        <v>1</v>
      </c>
      <c r="G11" s="6">
        <v>21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18"/>
      <c r="O11" s="20"/>
    </row>
    <row r="12" spans="1:15" x14ac:dyDescent="0.25">
      <c r="A12" s="5" t="s">
        <v>26</v>
      </c>
      <c r="B12" s="6">
        <v>56</v>
      </c>
      <c r="C12" s="6">
        <v>59</v>
      </c>
      <c r="D12" s="6">
        <v>56</v>
      </c>
      <c r="E12" s="6">
        <v>69</v>
      </c>
      <c r="F12" s="6">
        <v>70</v>
      </c>
      <c r="G12" s="6">
        <v>21</v>
      </c>
      <c r="H12" s="6">
        <v>1</v>
      </c>
      <c r="I12" s="6">
        <v>0</v>
      </c>
      <c r="J12" s="6">
        <v>35</v>
      </c>
      <c r="K12" s="6">
        <v>121</v>
      </c>
      <c r="L12" s="6">
        <v>113</v>
      </c>
      <c r="M12" s="6">
        <v>72</v>
      </c>
      <c r="N12" s="18"/>
      <c r="O12" s="20"/>
    </row>
    <row r="13" spans="1:15" x14ac:dyDescent="0.25">
      <c r="A13" s="5" t="s">
        <v>54</v>
      </c>
      <c r="B13" s="6">
        <v>0</v>
      </c>
      <c r="C13" s="6">
        <v>0</v>
      </c>
      <c r="D13" s="6">
        <v>1</v>
      </c>
      <c r="E13" s="6">
        <v>0</v>
      </c>
      <c r="F13" s="6">
        <v>1</v>
      </c>
      <c r="G13" s="6">
        <v>0</v>
      </c>
      <c r="H13" s="6">
        <v>0</v>
      </c>
      <c r="I13" s="6">
        <v>0</v>
      </c>
      <c r="J13" s="6">
        <v>0</v>
      </c>
      <c r="K13" s="6">
        <v>1</v>
      </c>
      <c r="L13" s="6">
        <v>0</v>
      </c>
      <c r="M13" s="6">
        <v>0</v>
      </c>
      <c r="N13" s="18"/>
      <c r="O13" s="20"/>
    </row>
    <row r="14" spans="1:15" x14ac:dyDescent="0.25">
      <c r="A14" s="5" t="s">
        <v>24</v>
      </c>
      <c r="B14" s="6">
        <v>113760</v>
      </c>
      <c r="C14" s="6">
        <v>111835</v>
      </c>
      <c r="D14" s="6">
        <v>112854</v>
      </c>
      <c r="E14" s="6">
        <v>120206</v>
      </c>
      <c r="F14" s="6">
        <v>142452</v>
      </c>
      <c r="G14" s="6">
        <v>31078</v>
      </c>
      <c r="H14" s="6">
        <v>10971</v>
      </c>
      <c r="I14" s="6">
        <v>11150</v>
      </c>
      <c r="J14" s="6">
        <v>112380</v>
      </c>
      <c r="K14" s="6">
        <v>118413</v>
      </c>
      <c r="L14" s="6">
        <v>114716</v>
      </c>
      <c r="M14" s="6">
        <v>86452</v>
      </c>
      <c r="N14" s="18"/>
      <c r="O14" s="20"/>
    </row>
    <row r="15" spans="1:15" x14ac:dyDescent="0.25">
      <c r="A15" s="5" t="s">
        <v>22</v>
      </c>
      <c r="B15" s="6">
        <v>545</v>
      </c>
      <c r="C15" s="6">
        <v>422</v>
      </c>
      <c r="D15" s="6">
        <v>316</v>
      </c>
      <c r="E15" s="6">
        <v>201</v>
      </c>
      <c r="F15" s="6">
        <v>1093</v>
      </c>
      <c r="G15" s="6">
        <v>56</v>
      </c>
      <c r="H15" s="6">
        <v>24</v>
      </c>
      <c r="I15" s="6">
        <v>623</v>
      </c>
      <c r="J15" s="6">
        <v>217</v>
      </c>
      <c r="K15" s="6">
        <v>317</v>
      </c>
      <c r="L15" s="6">
        <v>1441</v>
      </c>
      <c r="M15" s="6">
        <v>2</v>
      </c>
      <c r="N15" s="18"/>
      <c r="O15" s="20"/>
    </row>
    <row r="16" spans="1:15" s="2" customFormat="1" x14ac:dyDescent="0.25">
      <c r="A16" s="21" t="s">
        <v>45</v>
      </c>
      <c r="B16" s="3">
        <f t="shared" ref="B16:M18" si="3">B17</f>
        <v>0</v>
      </c>
      <c r="C16" s="3">
        <f t="shared" si="3"/>
        <v>1</v>
      </c>
      <c r="D16" s="3">
        <f t="shared" si="3"/>
        <v>0</v>
      </c>
      <c r="E16" s="3">
        <f t="shared" si="3"/>
        <v>0</v>
      </c>
      <c r="F16" s="3">
        <f t="shared" si="3"/>
        <v>0</v>
      </c>
      <c r="G16" s="3">
        <f t="shared" si="3"/>
        <v>0</v>
      </c>
      <c r="H16" s="3">
        <f t="shared" si="3"/>
        <v>0</v>
      </c>
      <c r="I16" s="3">
        <f t="shared" si="3"/>
        <v>0</v>
      </c>
      <c r="J16" s="3">
        <f t="shared" si="3"/>
        <v>0</v>
      </c>
      <c r="K16" s="3">
        <f t="shared" si="3"/>
        <v>0</v>
      </c>
      <c r="L16" s="3">
        <f t="shared" si="3"/>
        <v>0</v>
      </c>
      <c r="M16" s="3">
        <f t="shared" si="3"/>
        <v>0</v>
      </c>
      <c r="N16" s="4">
        <f>N17</f>
        <v>0</v>
      </c>
      <c r="O16" s="3"/>
    </row>
    <row r="17" spans="1:17" x14ac:dyDescent="0.25">
      <c r="A17" s="5" t="s">
        <v>46</v>
      </c>
      <c r="B17" s="6">
        <v>0</v>
      </c>
      <c r="C17" s="6">
        <v>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18"/>
      <c r="O17" s="20"/>
    </row>
    <row r="18" spans="1:17" s="2" customFormat="1" x14ac:dyDescent="0.25">
      <c r="A18" s="21" t="s">
        <v>63</v>
      </c>
      <c r="B18" s="3">
        <f t="shared" si="3"/>
        <v>1833</v>
      </c>
      <c r="C18" s="3">
        <f t="shared" si="3"/>
        <v>1720</v>
      </c>
      <c r="D18" s="3">
        <f t="shared" si="3"/>
        <v>1462</v>
      </c>
      <c r="E18" s="3">
        <f t="shared" si="3"/>
        <v>1386</v>
      </c>
      <c r="F18" s="3">
        <f t="shared" si="3"/>
        <v>1786</v>
      </c>
      <c r="G18" s="3">
        <f t="shared" si="3"/>
        <v>446</v>
      </c>
      <c r="H18" s="3">
        <f t="shared" si="3"/>
        <v>207</v>
      </c>
      <c r="I18" s="3">
        <f t="shared" si="3"/>
        <v>262</v>
      </c>
      <c r="J18" s="3">
        <f t="shared" si="3"/>
        <v>2411</v>
      </c>
      <c r="K18" s="3">
        <f t="shared" si="3"/>
        <v>2433</v>
      </c>
      <c r="L18" s="3">
        <f t="shared" si="3"/>
        <v>3046</v>
      </c>
      <c r="M18" s="3">
        <f t="shared" si="3"/>
        <v>1855</v>
      </c>
      <c r="N18" s="4">
        <f>SUM(B19:M19)</f>
        <v>18847</v>
      </c>
      <c r="O18" s="3"/>
    </row>
    <row r="19" spans="1:17" x14ac:dyDescent="0.25">
      <c r="A19" s="5" t="s">
        <v>64</v>
      </c>
      <c r="B19" s="6">
        <v>1833</v>
      </c>
      <c r="C19" s="6">
        <v>1720</v>
      </c>
      <c r="D19" s="6">
        <v>1462</v>
      </c>
      <c r="E19" s="6">
        <v>1386</v>
      </c>
      <c r="F19" s="6">
        <v>1786</v>
      </c>
      <c r="G19" s="6">
        <v>446</v>
      </c>
      <c r="H19" s="6">
        <v>207</v>
      </c>
      <c r="I19" s="6">
        <v>262</v>
      </c>
      <c r="J19" s="6">
        <v>2411</v>
      </c>
      <c r="K19" s="6">
        <v>2433</v>
      </c>
      <c r="L19" s="6">
        <v>3046</v>
      </c>
      <c r="M19" s="6">
        <v>1855</v>
      </c>
      <c r="N19" s="18"/>
      <c r="O19" s="20"/>
    </row>
    <row r="20" spans="1:17" x14ac:dyDescent="0.25">
      <c r="A20" s="7" t="s">
        <v>18</v>
      </c>
      <c r="B20" s="8">
        <f>SUM(B3,B7,B16, B18)</f>
        <v>133377</v>
      </c>
      <c r="C20" s="8">
        <f>SUM(C3,C7,C16, C18)</f>
        <v>129392</v>
      </c>
      <c r="D20" s="8">
        <f t="shared" ref="D20:N20" si="4">SUM(D3,D7,D16, D18)</f>
        <v>130726</v>
      </c>
      <c r="E20" s="8">
        <f t="shared" si="4"/>
        <v>137294</v>
      </c>
      <c r="F20" s="8">
        <f t="shared" si="4"/>
        <v>163308</v>
      </c>
      <c r="G20" s="8">
        <f t="shared" si="4"/>
        <v>37468</v>
      </c>
      <c r="H20" s="8">
        <f t="shared" si="4"/>
        <v>14744</v>
      </c>
      <c r="I20" s="8">
        <f t="shared" si="4"/>
        <v>16258</v>
      </c>
      <c r="J20" s="8">
        <f t="shared" si="4"/>
        <v>131192</v>
      </c>
      <c r="K20" s="8">
        <f t="shared" si="4"/>
        <v>139481</v>
      </c>
      <c r="L20" s="8">
        <f t="shared" si="4"/>
        <v>140258</v>
      </c>
      <c r="M20" s="8">
        <f t="shared" si="4"/>
        <v>103478</v>
      </c>
      <c r="N20" s="8">
        <f t="shared" si="4"/>
        <v>1276975</v>
      </c>
      <c r="P20" t="s">
        <v>78</v>
      </c>
      <c r="Q20" s="20">
        <v>2108641</v>
      </c>
    </row>
    <row r="22" spans="1:17" x14ac:dyDescent="0.25">
      <c r="A22" s="83" t="s">
        <v>92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7" x14ac:dyDescent="0.2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7" ht="60" x14ac:dyDescent="0.25">
      <c r="A24" s="9" t="s">
        <v>19</v>
      </c>
      <c r="B24" s="10" t="s">
        <v>80</v>
      </c>
      <c r="C24" s="10" t="s">
        <v>81</v>
      </c>
      <c r="D24" s="10" t="s">
        <v>82</v>
      </c>
      <c r="E24" s="10" t="s">
        <v>83</v>
      </c>
      <c r="F24" s="10" t="s">
        <v>84</v>
      </c>
      <c r="G24" s="10" t="s">
        <v>85</v>
      </c>
      <c r="H24" s="10" t="s">
        <v>86</v>
      </c>
      <c r="I24" s="10" t="s">
        <v>87</v>
      </c>
      <c r="J24" s="10" t="s">
        <v>88</v>
      </c>
      <c r="K24" s="10" t="s">
        <v>89</v>
      </c>
      <c r="L24" s="10" t="s">
        <v>90</v>
      </c>
      <c r="M24" s="11" t="s">
        <v>91</v>
      </c>
    </row>
    <row r="25" spans="1:17" x14ac:dyDescent="0.25">
      <c r="A25" s="1" t="s">
        <v>31</v>
      </c>
      <c r="B25" s="3">
        <f t="shared" ref="B25:M25" si="5">SUM(B26:B27)</f>
        <v>13338</v>
      </c>
      <c r="C25" s="3">
        <f t="shared" si="5"/>
        <v>13630</v>
      </c>
      <c r="D25" s="3">
        <f t="shared" si="5"/>
        <v>15382</v>
      </c>
      <c r="E25" s="3">
        <f t="shared" si="5"/>
        <v>15342</v>
      </c>
      <c r="F25" s="3">
        <f t="shared" si="5"/>
        <v>15435</v>
      </c>
      <c r="G25" s="3">
        <f t="shared" si="5"/>
        <v>15686</v>
      </c>
      <c r="H25" s="3">
        <f t="shared" si="5"/>
        <v>15549</v>
      </c>
      <c r="I25" s="3">
        <f t="shared" si="5"/>
        <v>15542</v>
      </c>
      <c r="J25" s="3">
        <f t="shared" si="5"/>
        <v>16052</v>
      </c>
      <c r="K25" s="3">
        <f>SUM(K26:K27)</f>
        <v>16950</v>
      </c>
      <c r="L25" s="3">
        <f t="shared" si="5"/>
        <v>17050</v>
      </c>
      <c r="M25" s="4">
        <f t="shared" si="5"/>
        <v>17115</v>
      </c>
    </row>
    <row r="26" spans="1:17" x14ac:dyDescent="0.25">
      <c r="A26" s="12" t="s">
        <v>30</v>
      </c>
      <c r="B26" s="20">
        <f>2016+20+236+0+125</f>
        <v>2397</v>
      </c>
      <c r="C26" s="20">
        <f>2038+20+253+130</f>
        <v>2441</v>
      </c>
      <c r="D26" s="20">
        <f>2044+20+266+132</f>
        <v>2462</v>
      </c>
      <c r="E26" s="20">
        <f>2052+20+268+123</f>
        <v>2463</v>
      </c>
      <c r="F26" s="20">
        <f>2058+26+264+122</f>
        <v>2470</v>
      </c>
      <c r="G26" s="20">
        <f>2072+21+264+121</f>
        <v>2478</v>
      </c>
      <c r="H26" s="20">
        <f>2072+26+257+121</f>
        <v>2476</v>
      </c>
      <c r="I26" s="20">
        <f>2078+20+250+120</f>
        <v>2468</v>
      </c>
      <c r="J26" s="20">
        <f>2241+20+266+112</f>
        <v>2639</v>
      </c>
      <c r="K26" s="20">
        <f>2289+20+268+119</f>
        <v>2696</v>
      </c>
      <c r="L26" s="20">
        <f>2307+20+279+138</f>
        <v>2744</v>
      </c>
      <c r="M26" s="58">
        <f>2319+20+282+135</f>
        <v>2756</v>
      </c>
    </row>
    <row r="27" spans="1:17" x14ac:dyDescent="0.25">
      <c r="A27" s="12" t="s">
        <v>33</v>
      </c>
      <c r="B27" s="20">
        <f>5712+434+232+3081+1446+36</f>
        <v>10941</v>
      </c>
      <c r="C27" s="20">
        <f>5771+434+252+3219+1480+33</f>
        <v>11189</v>
      </c>
      <c r="D27" s="20">
        <f>5773+2214+248+3156+1493+36</f>
        <v>12920</v>
      </c>
      <c r="E27" s="20">
        <f>5790+2214+241+3109+1492+33</f>
        <v>12879</v>
      </c>
      <c r="F27" s="20">
        <f>5800+2387+236+3032+1479+31</f>
        <v>12965</v>
      </c>
      <c r="G27" s="20">
        <f>5820+2345+242+3190+1580+31</f>
        <v>13208</v>
      </c>
      <c r="H27" s="20">
        <f>5820+2391+240+3043+1548+31</f>
        <v>13073</v>
      </c>
      <c r="I27" s="20">
        <f>5832+2348+232+3056+1573+33</f>
        <v>13074</v>
      </c>
      <c r="J27" s="20">
        <f>5894+2488+232+3204+1563+32</f>
        <v>13413</v>
      </c>
      <c r="K27" s="20">
        <f>6148+2498+385+3498+1671+54</f>
        <v>14254</v>
      </c>
      <c r="L27" s="20">
        <f>6158+2482+365+3546+1686+69</f>
        <v>14306</v>
      </c>
      <c r="M27" s="58">
        <f>6181+2542+366+3515+1687+68</f>
        <v>14359</v>
      </c>
    </row>
    <row r="28" spans="1:17" x14ac:dyDescent="0.25">
      <c r="A28" s="1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58"/>
    </row>
    <row r="29" spans="1:17" x14ac:dyDescent="0.25">
      <c r="A29" s="1" t="s">
        <v>32</v>
      </c>
      <c r="B29" s="3">
        <f t="shared" ref="B29:M29" si="6">SUM(B30:B31)</f>
        <v>49238</v>
      </c>
      <c r="C29" s="3">
        <f t="shared" si="6"/>
        <v>52205</v>
      </c>
      <c r="D29" s="3">
        <f t="shared" si="6"/>
        <v>52066</v>
      </c>
      <c r="E29" s="3">
        <f t="shared" si="6"/>
        <v>51217</v>
      </c>
      <c r="F29" s="3">
        <f t="shared" si="6"/>
        <v>50266</v>
      </c>
      <c r="G29" s="3">
        <f t="shared" si="6"/>
        <v>50104</v>
      </c>
      <c r="H29" s="3">
        <f t="shared" si="6"/>
        <v>49717</v>
      </c>
      <c r="I29" s="3">
        <f t="shared" si="6"/>
        <v>44253</v>
      </c>
      <c r="J29" s="3">
        <f t="shared" si="6"/>
        <v>50409</v>
      </c>
      <c r="K29" s="3">
        <f t="shared" si="6"/>
        <v>52196</v>
      </c>
      <c r="L29" s="3">
        <f t="shared" si="6"/>
        <v>53887</v>
      </c>
      <c r="M29" s="4">
        <f t="shared" si="6"/>
        <v>53558</v>
      </c>
    </row>
    <row r="30" spans="1:17" x14ac:dyDescent="0.25">
      <c r="A30" s="12" t="s">
        <v>30</v>
      </c>
      <c r="B30" s="20">
        <f>6191+0+936+0</f>
        <v>7127</v>
      </c>
      <c r="C30" s="20">
        <f>6336+1024</f>
        <v>7360</v>
      </c>
      <c r="D30" s="20">
        <f>6412+1075</f>
        <v>7487</v>
      </c>
      <c r="E30" s="20">
        <f>6455+1088</f>
        <v>7543</v>
      </c>
      <c r="F30" s="20">
        <f>6568+1087</f>
        <v>7655</v>
      </c>
      <c r="G30" s="20">
        <f>6582+1076</f>
        <v>7658</v>
      </c>
      <c r="H30" s="20">
        <f>6582+1061</f>
        <v>7643</v>
      </c>
      <c r="I30" s="20">
        <f>6590+1053</f>
        <v>7643</v>
      </c>
      <c r="J30" s="20">
        <f>6754+1071</f>
        <v>7825</v>
      </c>
      <c r="K30" s="20">
        <f>6961+1133</f>
        <v>8094</v>
      </c>
      <c r="L30" s="20">
        <f>7777+1160</f>
        <v>8937</v>
      </c>
      <c r="M30" s="58">
        <f>7800+1154</f>
        <v>8954</v>
      </c>
    </row>
    <row r="31" spans="1:17" x14ac:dyDescent="0.25">
      <c r="A31" s="12" t="s">
        <v>33</v>
      </c>
      <c r="B31" s="20">
        <f>18780+1418+16472+5441</f>
        <v>42111</v>
      </c>
      <c r="C31" s="20">
        <f>19112+1436+18279+6018</f>
        <v>44845</v>
      </c>
      <c r="D31" s="20">
        <f>19338+1497+17496+6248</f>
        <v>44579</v>
      </c>
      <c r="E31" s="20">
        <f>19392+1317+16689+6276</f>
        <v>43674</v>
      </c>
      <c r="F31" s="20">
        <f>19462+1316+15775+6058</f>
        <v>42611</v>
      </c>
      <c r="G31" s="20">
        <f>19483+1319+15648+5996</f>
        <v>42446</v>
      </c>
      <c r="H31" s="20">
        <f>19483+1310+15363+5918</f>
        <v>42074</v>
      </c>
      <c r="I31" s="20">
        <f>19606+1329+15642+33</f>
        <v>36610</v>
      </c>
      <c r="J31" s="20">
        <f>19671+1265+15877+5771</f>
        <v>42584</v>
      </c>
      <c r="K31" s="20">
        <f>20033+1444+16668+5957</f>
        <v>44102</v>
      </c>
      <c r="L31" s="20">
        <f>20719+1675+16713+5843</f>
        <v>44950</v>
      </c>
      <c r="M31" s="58">
        <f>20781+1738+16311+5774</f>
        <v>44604</v>
      </c>
    </row>
    <row r="32" spans="1:17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</row>
    <row r="33" spans="1:14" x14ac:dyDescent="0.25">
      <c r="A33" s="3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4" s="2" customFormat="1" ht="21" x14ac:dyDescent="0.35">
      <c r="A34" s="24" t="s">
        <v>29</v>
      </c>
      <c r="B34" s="25">
        <v>44593</v>
      </c>
      <c r="C34" s="25">
        <v>44621</v>
      </c>
      <c r="D34" s="25">
        <v>44652</v>
      </c>
      <c r="E34" s="25">
        <v>44683</v>
      </c>
      <c r="F34" s="25">
        <v>44713</v>
      </c>
      <c r="G34" s="25">
        <v>44743</v>
      </c>
      <c r="H34" s="25">
        <v>44774</v>
      </c>
      <c r="I34" s="25">
        <v>44805</v>
      </c>
      <c r="J34" s="25">
        <v>44837</v>
      </c>
      <c r="K34" s="25">
        <v>44866</v>
      </c>
      <c r="L34" s="25">
        <v>44896</v>
      </c>
      <c r="M34" s="26">
        <v>44928</v>
      </c>
      <c r="N34" s="34"/>
    </row>
    <row r="35" spans="1:14" s="32" customFormat="1" x14ac:dyDescent="0.25">
      <c r="A35" s="32" t="s">
        <v>20</v>
      </c>
      <c r="B35" s="32">
        <v>80391</v>
      </c>
      <c r="C35" s="32">
        <v>83643</v>
      </c>
      <c r="D35" s="32">
        <v>86631</v>
      </c>
      <c r="E35" s="32">
        <v>89666</v>
      </c>
      <c r="F35" s="32">
        <v>93010</v>
      </c>
      <c r="G35" s="32">
        <v>93513</v>
      </c>
      <c r="H35" s="32">
        <v>93691</v>
      </c>
      <c r="I35" s="32">
        <v>93862</v>
      </c>
      <c r="J35" s="32">
        <v>97453</v>
      </c>
      <c r="K35" s="32">
        <v>102939</v>
      </c>
      <c r="L35" s="32">
        <v>107578</v>
      </c>
      <c r="M35" s="55">
        <v>111181</v>
      </c>
    </row>
    <row r="36" spans="1:14" s="32" customFormat="1" x14ac:dyDescent="0.25">
      <c r="A36" s="30" t="s">
        <v>21</v>
      </c>
      <c r="B36" s="31">
        <v>445516</v>
      </c>
      <c r="C36" s="31">
        <v>469152</v>
      </c>
      <c r="D36" s="31">
        <v>489682</v>
      </c>
      <c r="E36" s="31">
        <v>536664</v>
      </c>
      <c r="F36" s="31">
        <v>537728</v>
      </c>
      <c r="G36" s="31">
        <v>541741</v>
      </c>
      <c r="H36" s="31">
        <v>542634</v>
      </c>
      <c r="I36" s="31">
        <v>543302</v>
      </c>
      <c r="J36" s="31">
        <v>533344</v>
      </c>
      <c r="K36" s="31">
        <v>595888</v>
      </c>
      <c r="L36" s="31">
        <v>627668</v>
      </c>
      <c r="M36" s="31">
        <v>659192</v>
      </c>
      <c r="N36" s="35"/>
    </row>
    <row r="37" spans="1:14" x14ac:dyDescent="0.2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4" ht="48" customHeight="1" x14ac:dyDescent="0.35">
      <c r="A38" s="84" t="s">
        <v>93</v>
      </c>
      <c r="B38" s="85"/>
    </row>
    <row r="39" spans="1:14" x14ac:dyDescent="0.25">
      <c r="A39" s="12" t="s">
        <v>0</v>
      </c>
      <c r="B39" s="27">
        <f>26660/31</f>
        <v>860</v>
      </c>
    </row>
    <row r="40" spans="1:14" x14ac:dyDescent="0.25">
      <c r="A40" s="12" t="s">
        <v>1</v>
      </c>
      <c r="B40" s="27">
        <f>26513/28</f>
        <v>946.89285714285711</v>
      </c>
    </row>
    <row r="41" spans="1:14" x14ac:dyDescent="0.25">
      <c r="A41" s="12" t="s">
        <v>2</v>
      </c>
      <c r="B41" s="27">
        <f>27332/31</f>
        <v>881.67741935483866</v>
      </c>
    </row>
    <row r="42" spans="1:14" x14ac:dyDescent="0.25">
      <c r="A42" s="12" t="s">
        <v>3</v>
      </c>
      <c r="B42" s="27">
        <f>27818/30</f>
        <v>927.26666666666665</v>
      </c>
    </row>
    <row r="43" spans="1:14" x14ac:dyDescent="0.25">
      <c r="A43" s="12" t="s">
        <v>4</v>
      </c>
      <c r="B43" s="27">
        <f>32617/31</f>
        <v>1052.1612903225807</v>
      </c>
    </row>
    <row r="44" spans="1:14" x14ac:dyDescent="0.25">
      <c r="A44" s="12" t="s">
        <v>5</v>
      </c>
      <c r="B44" s="27">
        <f>10183/30</f>
        <v>339.43333333333334</v>
      </c>
    </row>
    <row r="45" spans="1:14" x14ac:dyDescent="0.25">
      <c r="A45" s="12" t="s">
        <v>6</v>
      </c>
      <c r="B45" s="27">
        <f>2941/31</f>
        <v>94.870967741935488</v>
      </c>
    </row>
    <row r="46" spans="1:14" x14ac:dyDescent="0.25">
      <c r="A46" s="12" t="s">
        <v>7</v>
      </c>
      <c r="B46" s="27">
        <f>3766/31</f>
        <v>121.48387096774194</v>
      </c>
    </row>
    <row r="47" spans="1:14" x14ac:dyDescent="0.25">
      <c r="A47" s="12" t="s">
        <v>8</v>
      </c>
      <c r="B47" s="27">
        <f>29397/30</f>
        <v>979.9</v>
      </c>
    </row>
    <row r="48" spans="1:14" x14ac:dyDescent="0.25">
      <c r="A48" s="12" t="s">
        <v>9</v>
      </c>
      <c r="B48" s="27">
        <f>29783/31</f>
        <v>960.74193548387098</v>
      </c>
    </row>
    <row r="49" spans="1:13" x14ac:dyDescent="0.25">
      <c r="A49" s="12" t="s">
        <v>10</v>
      </c>
      <c r="B49" s="27">
        <f>31173/30</f>
        <v>1039.0999999999999</v>
      </c>
    </row>
    <row r="50" spans="1:13" x14ac:dyDescent="0.25">
      <c r="A50" s="12" t="s">
        <v>11</v>
      </c>
      <c r="B50" s="27">
        <f>25260/31</f>
        <v>814.83870967741939</v>
      </c>
    </row>
    <row r="51" spans="1:13" x14ac:dyDescent="0.25">
      <c r="A51" s="28"/>
      <c r="B51" s="28"/>
    </row>
    <row r="54" spans="1:13" s="2" customFormat="1" ht="21" x14ac:dyDescent="0.35">
      <c r="A54" s="24" t="s">
        <v>28</v>
      </c>
      <c r="B54" s="25">
        <v>44593</v>
      </c>
      <c r="C54" s="25">
        <v>44621</v>
      </c>
      <c r="D54" s="25">
        <v>44652</v>
      </c>
      <c r="E54" s="25">
        <v>44683</v>
      </c>
      <c r="F54" s="25">
        <v>44713</v>
      </c>
      <c r="G54" s="25">
        <v>44743</v>
      </c>
      <c r="H54" s="25">
        <v>44774</v>
      </c>
      <c r="I54" s="25">
        <v>44805</v>
      </c>
      <c r="J54" s="25">
        <v>44837</v>
      </c>
      <c r="K54" s="25">
        <v>44866</v>
      </c>
      <c r="L54" s="25">
        <v>44896</v>
      </c>
      <c r="M54" s="26">
        <v>44928</v>
      </c>
    </row>
    <row r="55" spans="1:13" x14ac:dyDescent="0.25">
      <c r="A55" s="22" t="s">
        <v>20</v>
      </c>
      <c r="B55">
        <v>1553</v>
      </c>
      <c r="C55">
        <v>1437</v>
      </c>
      <c r="D55">
        <v>1145</v>
      </c>
      <c r="E55">
        <v>1492</v>
      </c>
      <c r="F55">
        <v>1389</v>
      </c>
      <c r="G55">
        <v>216</v>
      </c>
      <c r="H55">
        <v>206</v>
      </c>
      <c r="I55">
        <v>195</v>
      </c>
      <c r="J55">
        <v>1988</v>
      </c>
      <c r="K55">
        <v>2375</v>
      </c>
      <c r="L55">
        <v>1794</v>
      </c>
      <c r="M55" s="13">
        <v>1178</v>
      </c>
    </row>
    <row r="56" spans="1:13" x14ac:dyDescent="0.25">
      <c r="A56" s="23" t="s">
        <v>21</v>
      </c>
      <c r="B56" s="15">
        <v>9974</v>
      </c>
      <c r="C56" s="15">
        <v>8517</v>
      </c>
      <c r="D56" s="15">
        <v>6298</v>
      </c>
      <c r="E56" s="15">
        <v>8609</v>
      </c>
      <c r="F56" s="15">
        <v>10924</v>
      </c>
      <c r="G56" s="15">
        <v>3165</v>
      </c>
      <c r="H56" s="15">
        <v>2957</v>
      </c>
      <c r="I56" s="15">
        <v>1280</v>
      </c>
      <c r="J56" s="15">
        <v>11785</v>
      </c>
      <c r="K56" s="15">
        <v>14289</v>
      </c>
      <c r="L56" s="15">
        <v>17030</v>
      </c>
      <c r="M56" s="16">
        <v>12242</v>
      </c>
    </row>
    <row r="57" spans="1:13" x14ac:dyDescent="0.25">
      <c r="A57" s="29"/>
    </row>
    <row r="58" spans="1:13" x14ac:dyDescent="0.25">
      <c r="A58" s="29"/>
    </row>
    <row r="59" spans="1:13" x14ac:dyDescent="0.2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1" spans="1:13" ht="21" x14ac:dyDescent="0.35">
      <c r="A61" s="24" t="s">
        <v>27</v>
      </c>
      <c r="B61" s="57" t="s">
        <v>48</v>
      </c>
    </row>
    <row r="62" spans="1:13" x14ac:dyDescent="0.25">
      <c r="A62" s="29">
        <v>44593</v>
      </c>
      <c r="B62" s="13">
        <v>13.48</v>
      </c>
    </row>
    <row r="63" spans="1:13" x14ac:dyDescent="0.25">
      <c r="A63" s="29">
        <v>44621</v>
      </c>
      <c r="B63" s="13">
        <v>13.26</v>
      </c>
    </row>
    <row r="64" spans="1:13" x14ac:dyDescent="0.25">
      <c r="A64" s="29">
        <v>44652</v>
      </c>
      <c r="B64" s="13">
        <v>14.25</v>
      </c>
    </row>
    <row r="65" spans="1:14" x14ac:dyDescent="0.25">
      <c r="A65" s="29">
        <v>44683</v>
      </c>
      <c r="B65" s="13">
        <v>11.3</v>
      </c>
    </row>
    <row r="66" spans="1:14" x14ac:dyDescent="0.25">
      <c r="A66" s="29">
        <v>44713</v>
      </c>
      <c r="B66" s="13">
        <v>15.75</v>
      </c>
    </row>
    <row r="67" spans="1:14" x14ac:dyDescent="0.25">
      <c r="A67" s="29">
        <v>44743</v>
      </c>
      <c r="B67" s="13">
        <v>41.37</v>
      </c>
    </row>
    <row r="68" spans="1:14" x14ac:dyDescent="0.25">
      <c r="A68" s="29">
        <v>44774</v>
      </c>
      <c r="B68" s="13">
        <v>61.38</v>
      </c>
    </row>
    <row r="69" spans="1:14" x14ac:dyDescent="0.25">
      <c r="A69" s="29">
        <v>44805</v>
      </c>
      <c r="B69" s="13">
        <v>38.369999999999997</v>
      </c>
    </row>
    <row r="70" spans="1:14" x14ac:dyDescent="0.25">
      <c r="A70" s="29">
        <v>44837</v>
      </c>
      <c r="B70" s="13">
        <v>12.1</v>
      </c>
    </row>
    <row r="71" spans="1:14" x14ac:dyDescent="0.25">
      <c r="A71" s="29">
        <v>44866</v>
      </c>
      <c r="B71" s="13">
        <v>14.75</v>
      </c>
    </row>
    <row r="72" spans="1:14" x14ac:dyDescent="0.25">
      <c r="A72" s="29">
        <v>44896</v>
      </c>
      <c r="B72" s="13">
        <v>15.36</v>
      </c>
    </row>
    <row r="73" spans="1:14" x14ac:dyDescent="0.25">
      <c r="A73" s="74">
        <v>44928</v>
      </c>
      <c r="B73" s="16">
        <v>23.51</v>
      </c>
    </row>
    <row r="75" spans="1:14" s="2" customFormat="1" ht="21" x14ac:dyDescent="0.35">
      <c r="A75" s="24" t="s">
        <v>47</v>
      </c>
      <c r="B75" s="25">
        <v>44564</v>
      </c>
      <c r="C75" s="25">
        <v>44652</v>
      </c>
      <c r="D75" s="25">
        <v>44743</v>
      </c>
      <c r="E75" s="25">
        <v>44837</v>
      </c>
      <c r="F75" s="26">
        <v>44928</v>
      </c>
      <c r="H75" s="54"/>
      <c r="I75" s="54"/>
      <c r="J75" s="54"/>
      <c r="K75" s="54"/>
      <c r="L75" s="54"/>
      <c r="M75" s="54"/>
      <c r="N75" s="54"/>
    </row>
    <row r="76" spans="1:14" s="32" customFormat="1" x14ac:dyDescent="0.25">
      <c r="A76" s="35" t="s">
        <v>38</v>
      </c>
      <c r="B76" s="60">
        <v>214</v>
      </c>
      <c r="C76" s="60">
        <v>227</v>
      </c>
      <c r="D76" s="60">
        <v>230</v>
      </c>
      <c r="E76" s="60">
        <v>235</v>
      </c>
      <c r="F76" s="55">
        <v>241</v>
      </c>
    </row>
    <row r="77" spans="1:14" s="32" customFormat="1" x14ac:dyDescent="0.25">
      <c r="A77" s="30" t="s">
        <v>37</v>
      </c>
      <c r="B77" s="31">
        <v>286741</v>
      </c>
      <c r="C77" s="31">
        <v>308335</v>
      </c>
      <c r="D77" s="31">
        <v>312181</v>
      </c>
      <c r="E77" s="31">
        <v>320055</v>
      </c>
      <c r="F77" s="56">
        <v>326573</v>
      </c>
    </row>
    <row r="78" spans="1:14" s="32" customFormat="1" x14ac:dyDescent="0.25">
      <c r="A78" s="60"/>
      <c r="B78" s="60"/>
      <c r="C78" s="60"/>
      <c r="D78" s="60"/>
      <c r="E78" s="60"/>
      <c r="F78" s="60"/>
    </row>
    <row r="79" spans="1:14" x14ac:dyDescent="0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4" ht="21" x14ac:dyDescent="0.35">
      <c r="A80" s="24" t="s">
        <v>52</v>
      </c>
      <c r="B80" s="25">
        <v>44564</v>
      </c>
      <c r="C80" s="25">
        <v>44652</v>
      </c>
      <c r="D80" s="25">
        <v>44743</v>
      </c>
      <c r="E80" s="25">
        <v>44835</v>
      </c>
      <c r="F80" s="26">
        <v>44928</v>
      </c>
      <c r="G80" s="33"/>
      <c r="H80" s="33"/>
      <c r="I80" s="33"/>
      <c r="J80" s="33"/>
      <c r="K80" s="33"/>
      <c r="L80" s="33"/>
    </row>
    <row r="81" spans="1:12" x14ac:dyDescent="0.25">
      <c r="A81" s="14"/>
      <c r="B81" s="61">
        <v>0.96</v>
      </c>
      <c r="C81" s="61">
        <v>0.97</v>
      </c>
      <c r="D81" s="61">
        <v>0.97</v>
      </c>
      <c r="E81" s="61">
        <f>896/922</f>
        <v>0.97180043383947934</v>
      </c>
      <c r="F81" s="62">
        <v>1</v>
      </c>
      <c r="G81" s="33"/>
      <c r="H81" s="33"/>
      <c r="I81" s="77"/>
      <c r="J81" s="33"/>
      <c r="K81" s="33"/>
      <c r="L81" s="33"/>
    </row>
    <row r="82" spans="1:12" x14ac:dyDescent="0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4" spans="1:12" ht="36" customHeight="1" x14ac:dyDescent="0.25">
      <c r="A84" s="86" t="s">
        <v>49</v>
      </c>
      <c r="B84" s="87"/>
    </row>
    <row r="85" spans="1:12" ht="24.75" customHeight="1" x14ac:dyDescent="0.25">
      <c r="A85" s="79" t="s">
        <v>56</v>
      </c>
      <c r="B85" s="80"/>
    </row>
    <row r="86" spans="1:12" x14ac:dyDescent="0.25">
      <c r="A86" s="63" t="s">
        <v>50</v>
      </c>
      <c r="B86" s="64" t="s">
        <v>51</v>
      </c>
    </row>
    <row r="87" spans="1:12" x14ac:dyDescent="0.25">
      <c r="A87" s="37" t="s">
        <v>65</v>
      </c>
      <c r="B87" s="59">
        <v>1541</v>
      </c>
    </row>
    <row r="88" spans="1:12" x14ac:dyDescent="0.25">
      <c r="A88" s="65" t="s">
        <v>66</v>
      </c>
      <c r="B88" s="69">
        <v>322</v>
      </c>
    </row>
    <row r="89" spans="1:12" x14ac:dyDescent="0.25">
      <c r="A89" s="37" t="s">
        <v>60</v>
      </c>
      <c r="B89" s="59">
        <v>319</v>
      </c>
    </row>
    <row r="90" spans="1:12" x14ac:dyDescent="0.25">
      <c r="A90" s="65" t="s">
        <v>58</v>
      </c>
      <c r="B90" s="69">
        <v>296</v>
      </c>
    </row>
    <row r="91" spans="1:12" ht="30" x14ac:dyDescent="0.25">
      <c r="A91" s="37" t="s">
        <v>67</v>
      </c>
      <c r="B91" s="59">
        <v>139</v>
      </c>
    </row>
    <row r="92" spans="1:12" ht="30" x14ac:dyDescent="0.25">
      <c r="A92" s="65" t="s">
        <v>59</v>
      </c>
      <c r="B92" s="69">
        <v>119</v>
      </c>
    </row>
    <row r="93" spans="1:12" x14ac:dyDescent="0.25">
      <c r="A93" s="37" t="s">
        <v>57</v>
      </c>
      <c r="B93" s="59">
        <v>99</v>
      </c>
    </row>
    <row r="94" spans="1:12" x14ac:dyDescent="0.25">
      <c r="A94" s="65" t="s">
        <v>68</v>
      </c>
      <c r="B94" s="69">
        <v>92</v>
      </c>
    </row>
    <row r="95" spans="1:12" x14ac:dyDescent="0.25">
      <c r="A95" s="37" t="s">
        <v>69</v>
      </c>
      <c r="B95" s="59">
        <v>92</v>
      </c>
    </row>
    <row r="96" spans="1:12" x14ac:dyDescent="0.25">
      <c r="A96" s="65" t="s">
        <v>70</v>
      </c>
      <c r="B96" s="69">
        <v>74</v>
      </c>
    </row>
    <row r="97" spans="1:2" x14ac:dyDescent="0.25">
      <c r="A97" s="37" t="s">
        <v>71</v>
      </c>
      <c r="B97" s="59">
        <v>70</v>
      </c>
    </row>
    <row r="98" spans="1:2" x14ac:dyDescent="0.25">
      <c r="A98" s="65" t="s">
        <v>72</v>
      </c>
      <c r="B98" s="69">
        <v>69</v>
      </c>
    </row>
    <row r="99" spans="1:2" x14ac:dyDescent="0.25">
      <c r="A99" s="37" t="s">
        <v>62</v>
      </c>
      <c r="B99" s="59">
        <v>69</v>
      </c>
    </row>
    <row r="100" spans="1:2" ht="30" x14ac:dyDescent="0.25">
      <c r="A100" s="65" t="s">
        <v>73</v>
      </c>
      <c r="B100" s="69">
        <v>68</v>
      </c>
    </row>
    <row r="101" spans="1:2" x14ac:dyDescent="0.25">
      <c r="A101" s="37" t="s">
        <v>61</v>
      </c>
      <c r="B101" s="59">
        <v>63</v>
      </c>
    </row>
    <row r="102" spans="1:2" ht="30" x14ac:dyDescent="0.25">
      <c r="A102" s="65" t="s">
        <v>74</v>
      </c>
      <c r="B102" s="69">
        <v>63</v>
      </c>
    </row>
    <row r="103" spans="1:2" x14ac:dyDescent="0.25">
      <c r="A103" s="37" t="s">
        <v>75</v>
      </c>
      <c r="B103" s="59">
        <v>57</v>
      </c>
    </row>
    <row r="104" spans="1:2" x14ac:dyDescent="0.25">
      <c r="A104" s="65" t="s">
        <v>76</v>
      </c>
      <c r="B104" s="69">
        <v>50</v>
      </c>
    </row>
    <row r="105" spans="1:2" ht="30" x14ac:dyDescent="0.25">
      <c r="A105" s="76" t="s">
        <v>53</v>
      </c>
      <c r="B105" s="59">
        <v>50</v>
      </c>
    </row>
    <row r="106" spans="1:2" x14ac:dyDescent="0.25">
      <c r="A106" s="72" t="s">
        <v>77</v>
      </c>
      <c r="B106" s="73">
        <v>49</v>
      </c>
    </row>
    <row r="107" spans="1:2" x14ac:dyDescent="0.25">
      <c r="A107" s="12"/>
      <c r="B107" s="13"/>
    </row>
    <row r="108" spans="1:2" ht="24.75" customHeight="1" x14ac:dyDescent="0.25">
      <c r="A108" s="79" t="s">
        <v>97</v>
      </c>
      <c r="B108" s="80"/>
    </row>
    <row r="109" spans="1:2" x14ac:dyDescent="0.25">
      <c r="A109" s="71" t="s">
        <v>50</v>
      </c>
      <c r="B109" s="64" t="s">
        <v>51</v>
      </c>
    </row>
    <row r="110" spans="1:2" ht="30" x14ac:dyDescent="0.25">
      <c r="A110" s="66" t="s">
        <v>100</v>
      </c>
      <c r="B110" s="67">
        <v>104</v>
      </c>
    </row>
    <row r="111" spans="1:2" ht="30" x14ac:dyDescent="0.25">
      <c r="A111" s="65" t="s">
        <v>53</v>
      </c>
      <c r="B111" s="68">
        <v>62</v>
      </c>
    </row>
    <row r="112" spans="1:2" x14ac:dyDescent="0.25">
      <c r="A112" s="66" t="s">
        <v>101</v>
      </c>
      <c r="B112" s="67">
        <v>60</v>
      </c>
    </row>
    <row r="113" spans="1:2" ht="30" x14ac:dyDescent="0.25">
      <c r="A113" s="65" t="s">
        <v>102</v>
      </c>
      <c r="B113" s="68">
        <v>56</v>
      </c>
    </row>
    <row r="114" spans="1:2" x14ac:dyDescent="0.25">
      <c r="A114" s="66" t="s">
        <v>103</v>
      </c>
      <c r="B114" s="67">
        <v>48</v>
      </c>
    </row>
    <row r="115" spans="1:2" x14ac:dyDescent="0.25">
      <c r="A115" s="65" t="s">
        <v>104</v>
      </c>
      <c r="B115" s="68">
        <v>46</v>
      </c>
    </row>
    <row r="116" spans="1:2" x14ac:dyDescent="0.25">
      <c r="A116" s="66" t="s">
        <v>105</v>
      </c>
      <c r="B116" s="67">
        <v>41</v>
      </c>
    </row>
    <row r="117" spans="1:2" ht="30" x14ac:dyDescent="0.25">
      <c r="A117" s="65" t="s">
        <v>106</v>
      </c>
      <c r="B117" s="68">
        <v>36</v>
      </c>
    </row>
    <row r="118" spans="1:2" ht="30" x14ac:dyDescent="0.25">
      <c r="A118" s="66" t="s">
        <v>107</v>
      </c>
      <c r="B118" s="67">
        <v>35</v>
      </c>
    </row>
    <row r="119" spans="1:2" x14ac:dyDescent="0.25">
      <c r="A119" s="65" t="s">
        <v>108</v>
      </c>
      <c r="B119" s="68">
        <v>35</v>
      </c>
    </row>
    <row r="120" spans="1:2" x14ac:dyDescent="0.25">
      <c r="A120" s="66" t="s">
        <v>109</v>
      </c>
      <c r="B120" s="67">
        <v>31</v>
      </c>
    </row>
    <row r="121" spans="1:2" x14ac:dyDescent="0.25">
      <c r="A121" s="65" t="s">
        <v>110</v>
      </c>
      <c r="B121" s="68">
        <v>30</v>
      </c>
    </row>
    <row r="122" spans="1:2" x14ac:dyDescent="0.25">
      <c r="A122" s="66" t="s">
        <v>111</v>
      </c>
      <c r="B122" s="67">
        <v>30</v>
      </c>
    </row>
    <row r="123" spans="1:2" x14ac:dyDescent="0.25">
      <c r="A123" s="65" t="s">
        <v>112</v>
      </c>
      <c r="B123" s="68">
        <v>29</v>
      </c>
    </row>
    <row r="124" spans="1:2" x14ac:dyDescent="0.25">
      <c r="A124" s="66" t="s">
        <v>113</v>
      </c>
      <c r="B124" s="67">
        <v>29</v>
      </c>
    </row>
    <row r="125" spans="1:2" ht="45" x14ac:dyDescent="0.25">
      <c r="A125" s="65" t="s">
        <v>114</v>
      </c>
      <c r="B125" s="68">
        <v>25</v>
      </c>
    </row>
    <row r="126" spans="1:2" ht="30" x14ac:dyDescent="0.25">
      <c r="A126" s="66" t="s">
        <v>115</v>
      </c>
      <c r="B126" s="67">
        <v>23</v>
      </c>
    </row>
    <row r="127" spans="1:2" x14ac:dyDescent="0.25">
      <c r="A127" s="65" t="s">
        <v>116</v>
      </c>
      <c r="B127" s="68">
        <v>22</v>
      </c>
    </row>
    <row r="128" spans="1:2" ht="30" x14ac:dyDescent="0.25">
      <c r="A128" s="66" t="s">
        <v>117</v>
      </c>
      <c r="B128" s="67">
        <v>22</v>
      </c>
    </row>
    <row r="129" spans="1:2" x14ac:dyDescent="0.25">
      <c r="A129" s="65" t="s">
        <v>118</v>
      </c>
      <c r="B129" s="68">
        <v>22</v>
      </c>
    </row>
    <row r="130" spans="1:2" x14ac:dyDescent="0.25">
      <c r="A130" s="12"/>
      <c r="B130" s="13"/>
    </row>
    <row r="131" spans="1:2" ht="24.75" customHeight="1" x14ac:dyDescent="0.25">
      <c r="A131" s="79" t="s">
        <v>96</v>
      </c>
      <c r="B131" s="80"/>
    </row>
    <row r="132" spans="1:2" x14ac:dyDescent="0.25">
      <c r="A132" s="71" t="s">
        <v>50</v>
      </c>
      <c r="B132" s="71" t="s">
        <v>51</v>
      </c>
    </row>
    <row r="133" spans="1:2" ht="30" x14ac:dyDescent="0.25">
      <c r="A133" s="66" t="s">
        <v>119</v>
      </c>
      <c r="B133" s="67">
        <v>204</v>
      </c>
    </row>
    <row r="134" spans="1:2" x14ac:dyDescent="0.25">
      <c r="A134" s="65" t="s">
        <v>103</v>
      </c>
      <c r="B134" s="69">
        <v>115</v>
      </c>
    </row>
    <row r="135" spans="1:2" ht="30" x14ac:dyDescent="0.25">
      <c r="A135" s="66" t="s">
        <v>120</v>
      </c>
      <c r="B135" s="70">
        <v>84</v>
      </c>
    </row>
    <row r="136" spans="1:2" ht="30" x14ac:dyDescent="0.25">
      <c r="A136" s="65" t="s">
        <v>121</v>
      </c>
      <c r="B136" s="69">
        <v>82</v>
      </c>
    </row>
    <row r="137" spans="1:2" ht="30" x14ac:dyDescent="0.25">
      <c r="A137" s="66" t="s">
        <v>102</v>
      </c>
      <c r="B137" s="70">
        <v>81</v>
      </c>
    </row>
    <row r="138" spans="1:2" x14ac:dyDescent="0.25">
      <c r="A138" s="65" t="s">
        <v>101</v>
      </c>
      <c r="B138" s="69">
        <v>80</v>
      </c>
    </row>
    <row r="139" spans="1:2" ht="30" x14ac:dyDescent="0.25">
      <c r="A139" s="66" t="s">
        <v>122</v>
      </c>
      <c r="B139" s="70">
        <v>78</v>
      </c>
    </row>
    <row r="140" spans="1:2" x14ac:dyDescent="0.25">
      <c r="A140" s="65" t="s">
        <v>123</v>
      </c>
      <c r="B140" s="69">
        <v>73</v>
      </c>
    </row>
    <row r="141" spans="1:2" ht="30" x14ac:dyDescent="0.25">
      <c r="A141" s="66" t="s">
        <v>53</v>
      </c>
      <c r="B141" s="70">
        <v>65</v>
      </c>
    </row>
    <row r="142" spans="1:2" x14ac:dyDescent="0.25">
      <c r="A142" s="65" t="s">
        <v>124</v>
      </c>
      <c r="B142" s="69">
        <v>65</v>
      </c>
    </row>
    <row r="143" spans="1:2" x14ac:dyDescent="0.25">
      <c r="A143" s="66" t="s">
        <v>125</v>
      </c>
      <c r="B143" s="70">
        <v>64</v>
      </c>
    </row>
    <row r="144" spans="1:2" x14ac:dyDescent="0.25">
      <c r="A144" s="65" t="s">
        <v>126</v>
      </c>
      <c r="B144" s="69">
        <v>64</v>
      </c>
    </row>
    <row r="145" spans="1:2" ht="30" x14ac:dyDescent="0.25">
      <c r="A145" s="66" t="s">
        <v>127</v>
      </c>
      <c r="B145" s="70">
        <v>62</v>
      </c>
    </row>
    <row r="146" spans="1:2" ht="30" x14ac:dyDescent="0.25">
      <c r="A146" s="65" t="s">
        <v>128</v>
      </c>
      <c r="B146" s="69">
        <v>61</v>
      </c>
    </row>
    <row r="147" spans="1:2" ht="30" x14ac:dyDescent="0.25">
      <c r="A147" s="66" t="s">
        <v>129</v>
      </c>
      <c r="B147" s="70">
        <v>59</v>
      </c>
    </row>
    <row r="148" spans="1:2" ht="30" x14ac:dyDescent="0.25">
      <c r="A148" s="65" t="s">
        <v>130</v>
      </c>
      <c r="B148" s="69">
        <v>45</v>
      </c>
    </row>
    <row r="149" spans="1:2" x14ac:dyDescent="0.25">
      <c r="A149" s="66" t="s">
        <v>131</v>
      </c>
      <c r="B149" s="70">
        <v>43</v>
      </c>
    </row>
    <row r="150" spans="1:2" x14ac:dyDescent="0.25">
      <c r="A150" s="65" t="s">
        <v>132</v>
      </c>
      <c r="B150" s="69">
        <v>39</v>
      </c>
    </row>
    <row r="151" spans="1:2" x14ac:dyDescent="0.25">
      <c r="A151" s="66" t="s">
        <v>133</v>
      </c>
      <c r="B151" s="70">
        <v>33</v>
      </c>
    </row>
    <row r="152" spans="1:2" ht="30" x14ac:dyDescent="0.25">
      <c r="A152" s="65" t="s">
        <v>115</v>
      </c>
      <c r="B152" s="69">
        <v>33</v>
      </c>
    </row>
    <row r="153" spans="1:2" x14ac:dyDescent="0.25">
      <c r="A153" s="12"/>
      <c r="B153" s="13"/>
    </row>
    <row r="154" spans="1:2" ht="24.75" customHeight="1" x14ac:dyDescent="0.25">
      <c r="A154" s="79" t="s">
        <v>95</v>
      </c>
      <c r="B154" s="80"/>
    </row>
    <row r="155" spans="1:2" x14ac:dyDescent="0.25">
      <c r="A155" s="71" t="s">
        <v>50</v>
      </c>
      <c r="B155" s="64" t="s">
        <v>51</v>
      </c>
    </row>
    <row r="156" spans="1:2" ht="30" x14ac:dyDescent="0.25">
      <c r="A156" s="78" t="s">
        <v>134</v>
      </c>
      <c r="B156" s="75">
        <v>278</v>
      </c>
    </row>
    <row r="157" spans="1:2" x14ac:dyDescent="0.25">
      <c r="A157" s="65" t="s">
        <v>135</v>
      </c>
      <c r="B157" s="69">
        <v>228</v>
      </c>
    </row>
    <row r="158" spans="1:2" ht="30" x14ac:dyDescent="0.25">
      <c r="A158" s="78" t="s">
        <v>107</v>
      </c>
      <c r="B158" s="75">
        <v>193</v>
      </c>
    </row>
    <row r="159" spans="1:2" x14ac:dyDescent="0.25">
      <c r="A159" s="65" t="s">
        <v>103</v>
      </c>
      <c r="B159" s="69">
        <v>155</v>
      </c>
    </row>
    <row r="160" spans="1:2" x14ac:dyDescent="0.25">
      <c r="A160" s="37" t="s">
        <v>113</v>
      </c>
      <c r="B160" s="75">
        <v>153</v>
      </c>
    </row>
    <row r="161" spans="1:2" x14ac:dyDescent="0.25">
      <c r="A161" s="65" t="s">
        <v>136</v>
      </c>
      <c r="B161" s="69">
        <v>131</v>
      </c>
    </row>
    <row r="162" spans="1:2" ht="30" x14ac:dyDescent="0.25">
      <c r="A162" s="37" t="s">
        <v>137</v>
      </c>
      <c r="B162" s="75">
        <v>106</v>
      </c>
    </row>
    <row r="163" spans="1:2" x14ac:dyDescent="0.25">
      <c r="A163" s="65" t="s">
        <v>57</v>
      </c>
      <c r="B163" s="69">
        <v>102</v>
      </c>
    </row>
    <row r="164" spans="1:2" ht="30" x14ac:dyDescent="0.25">
      <c r="A164" s="37" t="s">
        <v>102</v>
      </c>
      <c r="B164" s="75">
        <v>95</v>
      </c>
    </row>
    <row r="165" spans="1:2" x14ac:dyDescent="0.25">
      <c r="A165" s="65" t="s">
        <v>101</v>
      </c>
      <c r="B165" s="69">
        <v>83</v>
      </c>
    </row>
    <row r="166" spans="1:2" ht="30" x14ac:dyDescent="0.25">
      <c r="A166" s="37" t="s">
        <v>138</v>
      </c>
      <c r="B166" s="75">
        <v>73</v>
      </c>
    </row>
    <row r="167" spans="1:2" x14ac:dyDescent="0.25">
      <c r="A167" s="65" t="s">
        <v>139</v>
      </c>
      <c r="B167" s="69">
        <v>66</v>
      </c>
    </row>
    <row r="168" spans="1:2" ht="30" x14ac:dyDescent="0.25">
      <c r="A168" s="37" t="s">
        <v>140</v>
      </c>
      <c r="B168" s="75">
        <v>65</v>
      </c>
    </row>
    <row r="169" spans="1:2" ht="30" x14ac:dyDescent="0.25">
      <c r="A169" s="65" t="s">
        <v>53</v>
      </c>
      <c r="B169" s="69">
        <v>65</v>
      </c>
    </row>
    <row r="170" spans="1:2" ht="30" x14ac:dyDescent="0.25">
      <c r="A170" s="37" t="s">
        <v>129</v>
      </c>
      <c r="B170" s="75">
        <v>63</v>
      </c>
    </row>
    <row r="171" spans="1:2" x14ac:dyDescent="0.25">
      <c r="A171" s="65" t="s">
        <v>141</v>
      </c>
      <c r="B171" s="69">
        <v>62</v>
      </c>
    </row>
    <row r="172" spans="1:2" x14ac:dyDescent="0.25">
      <c r="A172" s="37" t="s">
        <v>110</v>
      </c>
      <c r="B172" s="75">
        <v>61</v>
      </c>
    </row>
    <row r="173" spans="1:2" ht="30" x14ac:dyDescent="0.25">
      <c r="A173" s="65" t="s">
        <v>142</v>
      </c>
      <c r="B173" s="69">
        <v>54</v>
      </c>
    </row>
    <row r="174" spans="1:2" ht="30" x14ac:dyDescent="0.25">
      <c r="A174" s="37" t="s">
        <v>143</v>
      </c>
      <c r="B174" s="75">
        <v>48</v>
      </c>
    </row>
    <row r="175" spans="1:2" x14ac:dyDescent="0.25">
      <c r="A175" s="65" t="s">
        <v>144</v>
      </c>
      <c r="B175" s="69">
        <v>46</v>
      </c>
    </row>
    <row r="176" spans="1:2" x14ac:dyDescent="0.25">
      <c r="A176" s="12"/>
      <c r="B176" s="13"/>
    </row>
    <row r="177" spans="1:2" ht="24.75" customHeight="1" x14ac:dyDescent="0.25">
      <c r="A177" s="79" t="s">
        <v>94</v>
      </c>
      <c r="B177" s="80"/>
    </row>
    <row r="178" spans="1:2" x14ac:dyDescent="0.25">
      <c r="A178" s="71" t="s">
        <v>50</v>
      </c>
      <c r="B178" s="64" t="s">
        <v>51</v>
      </c>
    </row>
    <row r="179" spans="1:2" ht="30" x14ac:dyDescent="0.25">
      <c r="A179" s="37" t="s">
        <v>145</v>
      </c>
      <c r="B179" s="59">
        <v>915</v>
      </c>
    </row>
    <row r="180" spans="1:2" x14ac:dyDescent="0.25">
      <c r="A180" s="65" t="s">
        <v>113</v>
      </c>
      <c r="B180" s="69">
        <v>384</v>
      </c>
    </row>
    <row r="181" spans="1:2" ht="30" x14ac:dyDescent="0.25">
      <c r="A181" s="37" t="s">
        <v>146</v>
      </c>
      <c r="B181" s="59">
        <v>375</v>
      </c>
    </row>
    <row r="182" spans="1:2" ht="30" x14ac:dyDescent="0.25">
      <c r="A182" s="65" t="s">
        <v>147</v>
      </c>
      <c r="B182" s="69">
        <v>296</v>
      </c>
    </row>
    <row r="183" spans="1:2" ht="30" x14ac:dyDescent="0.25">
      <c r="A183" s="37" t="s">
        <v>148</v>
      </c>
      <c r="B183" s="59">
        <v>296</v>
      </c>
    </row>
    <row r="184" spans="1:2" ht="30" x14ac:dyDescent="0.25">
      <c r="A184" s="65" t="s">
        <v>149</v>
      </c>
      <c r="B184" s="69">
        <v>198</v>
      </c>
    </row>
    <row r="185" spans="1:2" x14ac:dyDescent="0.25">
      <c r="A185" s="37" t="s">
        <v>150</v>
      </c>
      <c r="B185" s="59">
        <v>143</v>
      </c>
    </row>
    <row r="186" spans="1:2" ht="30" x14ac:dyDescent="0.25">
      <c r="A186" s="65" t="s">
        <v>142</v>
      </c>
      <c r="B186" s="69">
        <v>125</v>
      </c>
    </row>
    <row r="187" spans="1:2" ht="30" x14ac:dyDescent="0.25">
      <c r="A187" s="37" t="s">
        <v>151</v>
      </c>
      <c r="B187" s="59">
        <v>123</v>
      </c>
    </row>
    <row r="188" spans="1:2" x14ac:dyDescent="0.25">
      <c r="A188" s="65" t="s">
        <v>152</v>
      </c>
      <c r="B188" s="69">
        <v>105</v>
      </c>
    </row>
    <row r="189" spans="1:2" ht="30" x14ac:dyDescent="0.25">
      <c r="A189" s="37" t="s">
        <v>153</v>
      </c>
      <c r="B189" s="59">
        <v>84</v>
      </c>
    </row>
    <row r="190" spans="1:2" x14ac:dyDescent="0.25">
      <c r="A190" s="65" t="s">
        <v>154</v>
      </c>
      <c r="B190" s="69">
        <v>75</v>
      </c>
    </row>
    <row r="191" spans="1:2" x14ac:dyDescent="0.25">
      <c r="A191" s="37" t="s">
        <v>155</v>
      </c>
      <c r="B191" s="59">
        <v>65</v>
      </c>
    </row>
    <row r="192" spans="1:2" x14ac:dyDescent="0.25">
      <c r="A192" s="65" t="s">
        <v>156</v>
      </c>
      <c r="B192" s="69">
        <v>63</v>
      </c>
    </row>
    <row r="193" spans="1:2" x14ac:dyDescent="0.25">
      <c r="A193" s="37" t="s">
        <v>157</v>
      </c>
      <c r="B193" s="59">
        <v>59</v>
      </c>
    </row>
    <row r="194" spans="1:2" ht="30" x14ac:dyDescent="0.25">
      <c r="A194" s="65" t="s">
        <v>158</v>
      </c>
      <c r="B194" s="69">
        <v>58</v>
      </c>
    </row>
    <row r="195" spans="1:2" x14ac:dyDescent="0.25">
      <c r="A195" s="37" t="s">
        <v>159</v>
      </c>
      <c r="B195" s="59">
        <v>58</v>
      </c>
    </row>
    <row r="196" spans="1:2" ht="30" x14ac:dyDescent="0.25">
      <c r="A196" s="65" t="s">
        <v>160</v>
      </c>
      <c r="B196" s="69">
        <v>55</v>
      </c>
    </row>
    <row r="197" spans="1:2" x14ac:dyDescent="0.25">
      <c r="A197" s="76" t="s">
        <v>161</v>
      </c>
      <c r="B197" s="59">
        <v>54</v>
      </c>
    </row>
    <row r="198" spans="1:2" ht="30" x14ac:dyDescent="0.25">
      <c r="A198" s="72" t="s">
        <v>128</v>
      </c>
      <c r="B198" s="73">
        <v>54</v>
      </c>
    </row>
  </sheetData>
  <mergeCells count="9">
    <mergeCell ref="A131:B131"/>
    <mergeCell ref="A154:B154"/>
    <mergeCell ref="A177:B177"/>
    <mergeCell ref="A108:B108"/>
    <mergeCell ref="A1:M1"/>
    <mergeCell ref="A22:N23"/>
    <mergeCell ref="A38:B38"/>
    <mergeCell ref="A84:B84"/>
    <mergeCell ref="A85:B8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workbookViewId="0">
      <selection activeCell="O10" sqref="O10"/>
    </sheetView>
  </sheetViews>
  <sheetFormatPr defaultRowHeight="15" x14ac:dyDescent="0.25"/>
  <cols>
    <col min="1" max="8" width="7.5703125" customWidth="1"/>
    <col min="9" max="9" width="8.140625" customWidth="1"/>
    <col min="10" max="10" width="9.28515625" customWidth="1"/>
    <col min="11" max="11" width="7.5703125" customWidth="1"/>
  </cols>
  <sheetData>
    <row r="1" spans="1:11" ht="15" customHeight="1" x14ac:dyDescent="0.25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" customHeight="1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5" customHeight="1" x14ac:dyDescent="0.25">
      <c r="A4" s="92" t="s">
        <v>98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5" customHeight="1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5" customHeight="1" thickBo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5" customHeight="1" x14ac:dyDescent="0.6">
      <c r="A7" s="39"/>
      <c r="B7" s="40"/>
      <c r="C7" s="40"/>
      <c r="D7" s="40"/>
      <c r="E7" s="99" t="s">
        <v>36</v>
      </c>
      <c r="F7" s="100"/>
      <c r="G7" s="100"/>
      <c r="H7" s="100"/>
      <c r="I7" s="100"/>
      <c r="J7" s="101"/>
      <c r="K7" s="39"/>
    </row>
    <row r="8" spans="1:11" ht="15" customHeight="1" x14ac:dyDescent="0.25">
      <c r="A8" s="39"/>
      <c r="B8" s="39"/>
      <c r="C8" s="39"/>
      <c r="D8" s="39"/>
      <c r="E8" s="102"/>
      <c r="F8" s="103"/>
      <c r="G8" s="103"/>
      <c r="H8" s="103"/>
      <c r="I8" s="103"/>
      <c r="J8" s="104"/>
      <c r="K8" s="39"/>
    </row>
    <row r="9" spans="1:11" ht="15" customHeight="1" x14ac:dyDescent="0.25">
      <c r="A9" s="39"/>
      <c r="B9" s="39"/>
      <c r="C9" s="39"/>
      <c r="D9" s="39"/>
      <c r="E9" s="105">
        <f>Statistics!F76</f>
        <v>241</v>
      </c>
      <c r="F9" s="106"/>
      <c r="G9" s="106"/>
      <c r="H9" s="107">
        <f>Statistics!F77</f>
        <v>326573</v>
      </c>
      <c r="I9" s="106"/>
      <c r="J9" s="108"/>
      <c r="K9" s="39"/>
    </row>
    <row r="10" spans="1:11" ht="15" customHeight="1" x14ac:dyDescent="0.25">
      <c r="A10" s="39"/>
      <c r="B10" s="39"/>
      <c r="C10" s="39"/>
      <c r="D10" s="39"/>
      <c r="E10" s="105"/>
      <c r="F10" s="106"/>
      <c r="G10" s="106"/>
      <c r="H10" s="106"/>
      <c r="I10" s="106"/>
      <c r="J10" s="108"/>
      <c r="K10" s="39"/>
    </row>
    <row r="11" spans="1:11" ht="18" customHeight="1" x14ac:dyDescent="0.25">
      <c r="A11" s="39"/>
      <c r="B11" s="39"/>
      <c r="C11" s="39"/>
      <c r="D11" s="39"/>
      <c r="E11" s="109" t="s">
        <v>38</v>
      </c>
      <c r="F11" s="110"/>
      <c r="G11" s="110"/>
      <c r="H11" s="110" t="s">
        <v>37</v>
      </c>
      <c r="I11" s="110"/>
      <c r="J11" s="111"/>
      <c r="K11" s="39"/>
    </row>
    <row r="12" spans="1:11" ht="15" customHeight="1" x14ac:dyDescent="0.25">
      <c r="A12" s="39"/>
      <c r="B12" s="39"/>
      <c r="C12" s="39"/>
      <c r="D12" s="39"/>
      <c r="E12" s="93" t="s">
        <v>39</v>
      </c>
      <c r="F12" s="94"/>
      <c r="G12" s="94"/>
      <c r="H12" s="94"/>
      <c r="I12" s="94"/>
      <c r="J12" s="95"/>
      <c r="K12" s="39"/>
    </row>
    <row r="13" spans="1:11" ht="15" customHeight="1" thickBot="1" x14ac:dyDescent="0.3">
      <c r="A13" s="39"/>
      <c r="B13" s="39"/>
      <c r="C13" s="39"/>
      <c r="D13" s="39"/>
      <c r="E13" s="96"/>
      <c r="F13" s="97"/>
      <c r="G13" s="97"/>
      <c r="H13" s="97"/>
      <c r="I13" s="97"/>
      <c r="J13" s="98"/>
      <c r="K13" s="39"/>
    </row>
    <row r="14" spans="1:11" ht="15" customHeight="1" thickBot="1" x14ac:dyDescent="0.3">
      <c r="A14" s="39"/>
      <c r="B14" s="39"/>
      <c r="C14" s="39"/>
      <c r="D14" s="39"/>
      <c r="E14" s="41"/>
      <c r="F14" s="41"/>
      <c r="G14" s="41"/>
      <c r="H14" s="41"/>
      <c r="I14" s="41"/>
      <c r="J14" s="41"/>
      <c r="K14" s="39"/>
    </row>
    <row r="15" spans="1:11" ht="15" customHeight="1" thickBot="1" x14ac:dyDescent="0.35">
      <c r="A15" s="39"/>
      <c r="B15" s="88" t="s">
        <v>162</v>
      </c>
      <c r="C15" s="89"/>
      <c r="D15" s="89"/>
      <c r="E15" s="89"/>
      <c r="F15" s="89"/>
      <c r="G15" s="89"/>
      <c r="H15" s="89"/>
      <c r="I15" s="89"/>
      <c r="J15" s="90"/>
      <c r="K15" s="47"/>
    </row>
    <row r="16" spans="1:11" ht="15" customHeight="1" x14ac:dyDescent="0.3">
      <c r="A16" s="39"/>
      <c r="B16" s="48"/>
      <c r="C16" s="112" t="s">
        <v>41</v>
      </c>
      <c r="D16" s="112"/>
      <c r="E16" s="112"/>
      <c r="F16" s="53"/>
      <c r="G16" s="112" t="s">
        <v>43</v>
      </c>
      <c r="H16" s="112"/>
      <c r="I16" s="112"/>
      <c r="J16" s="49"/>
      <c r="K16" s="47"/>
    </row>
    <row r="17" spans="1:11" ht="15" customHeight="1" x14ac:dyDescent="0.3">
      <c r="A17" s="39"/>
      <c r="B17" s="48"/>
      <c r="C17" s="112"/>
      <c r="D17" s="112"/>
      <c r="E17" s="112"/>
      <c r="F17" s="53"/>
      <c r="G17" s="112"/>
      <c r="H17" s="112"/>
      <c r="I17" s="112"/>
      <c r="J17" s="49"/>
      <c r="K17" s="47"/>
    </row>
    <row r="18" spans="1:11" ht="15" customHeight="1" x14ac:dyDescent="0.25">
      <c r="A18" s="39"/>
      <c r="B18" s="48"/>
      <c r="C18" s="113">
        <f>Statistics!M25</f>
        <v>17115</v>
      </c>
      <c r="D18" s="113"/>
      <c r="E18" s="113"/>
      <c r="F18" s="46"/>
      <c r="G18" s="113">
        <f>Statistics!N20</f>
        <v>1276975</v>
      </c>
      <c r="H18" s="113"/>
      <c r="I18" s="113"/>
      <c r="J18" s="49"/>
      <c r="K18" s="46"/>
    </row>
    <row r="19" spans="1:11" ht="15" customHeight="1" x14ac:dyDescent="0.25">
      <c r="A19" s="39"/>
      <c r="B19" s="48"/>
      <c r="C19" s="113"/>
      <c r="D19" s="113"/>
      <c r="E19" s="113"/>
      <c r="F19" s="46"/>
      <c r="G19" s="113"/>
      <c r="H19" s="113"/>
      <c r="I19" s="113"/>
      <c r="J19" s="49"/>
      <c r="K19" s="46"/>
    </row>
    <row r="20" spans="1:11" ht="15" customHeight="1" x14ac:dyDescent="0.3">
      <c r="A20" s="39"/>
      <c r="B20" s="48"/>
      <c r="C20" s="112" t="s">
        <v>42</v>
      </c>
      <c r="D20" s="112"/>
      <c r="E20" s="112"/>
      <c r="F20" s="53"/>
      <c r="G20" s="112" t="s">
        <v>44</v>
      </c>
      <c r="H20" s="112"/>
      <c r="I20" s="112"/>
      <c r="J20" s="49"/>
      <c r="K20" s="47"/>
    </row>
    <row r="21" spans="1:11" ht="15" customHeight="1" x14ac:dyDescent="0.3">
      <c r="A21" s="39"/>
      <c r="B21" s="48"/>
      <c r="C21" s="112"/>
      <c r="D21" s="112"/>
      <c r="E21" s="112"/>
      <c r="F21" s="53"/>
      <c r="G21" s="112"/>
      <c r="H21" s="112"/>
      <c r="I21" s="112"/>
      <c r="J21" s="49"/>
      <c r="K21" s="47"/>
    </row>
    <row r="22" spans="1:11" ht="15" customHeight="1" x14ac:dyDescent="0.25">
      <c r="A22" s="39"/>
      <c r="B22" s="48"/>
      <c r="C22" s="113">
        <f>Statistics!M29</f>
        <v>53558</v>
      </c>
      <c r="D22" s="113"/>
      <c r="E22" s="113"/>
      <c r="F22" s="46"/>
      <c r="G22" s="113">
        <f>SUM(Statistics!M55:M56)</f>
        <v>13420</v>
      </c>
      <c r="H22" s="113"/>
      <c r="I22" s="113"/>
      <c r="J22" s="49"/>
      <c r="K22" s="46"/>
    </row>
    <row r="23" spans="1:11" ht="15" customHeight="1" x14ac:dyDescent="0.25">
      <c r="A23" s="39"/>
      <c r="B23" s="48"/>
      <c r="C23" s="113"/>
      <c r="D23" s="113"/>
      <c r="E23" s="113"/>
      <c r="F23" s="46"/>
      <c r="G23" s="113"/>
      <c r="H23" s="113"/>
      <c r="I23" s="113"/>
      <c r="J23" s="50"/>
      <c r="K23" s="46"/>
    </row>
    <row r="24" spans="1:11" ht="15" customHeight="1" thickBot="1" x14ac:dyDescent="0.3">
      <c r="A24" s="39"/>
      <c r="B24" s="51"/>
      <c r="C24" s="52"/>
      <c r="D24" s="52"/>
      <c r="E24" s="52"/>
      <c r="F24" s="44"/>
      <c r="G24" s="44"/>
      <c r="H24" s="44"/>
      <c r="I24" s="44"/>
      <c r="J24" s="45"/>
      <c r="K24" s="41"/>
    </row>
    <row r="25" spans="1:11" ht="15" customHeight="1" x14ac:dyDescent="0.25">
      <c r="A25" s="39"/>
      <c r="B25" s="39"/>
      <c r="C25" s="39"/>
      <c r="D25" s="39"/>
      <c r="E25" s="39"/>
      <c r="F25" s="41"/>
      <c r="G25" s="41"/>
      <c r="H25" s="41"/>
      <c r="I25" s="41"/>
      <c r="J25" s="41"/>
      <c r="K25" s="41"/>
    </row>
    <row r="26" spans="1:11" ht="15" customHeight="1" x14ac:dyDescent="0.25">
      <c r="A26" s="43"/>
      <c r="B26" s="43"/>
      <c r="C26" s="43"/>
      <c r="D26" s="43"/>
      <c r="E26" s="114">
        <f>Statistics!Q20+Statistics!N20</f>
        <v>3385616</v>
      </c>
      <c r="F26" s="114"/>
      <c r="G26" s="114"/>
      <c r="H26" s="114"/>
      <c r="I26" s="116">
        <f>Statistics!J35+Statistics!J36</f>
        <v>630797</v>
      </c>
      <c r="J26" s="117"/>
      <c r="K26" s="43"/>
    </row>
    <row r="27" spans="1:11" ht="15" customHeight="1" x14ac:dyDescent="0.25">
      <c r="A27" s="43"/>
      <c r="B27" s="43"/>
      <c r="C27" s="43"/>
      <c r="D27" s="43"/>
      <c r="E27" s="114"/>
      <c r="F27" s="114"/>
      <c r="G27" s="114"/>
      <c r="H27" s="114"/>
      <c r="I27" s="116"/>
      <c r="J27" s="117"/>
      <c r="K27" s="43"/>
    </row>
    <row r="28" spans="1:11" ht="15" customHeight="1" x14ac:dyDescent="0.25">
      <c r="A28" s="42"/>
      <c r="B28" s="42"/>
      <c r="C28" s="42"/>
      <c r="D28" s="42"/>
      <c r="E28" s="115" t="s">
        <v>34</v>
      </c>
      <c r="F28" s="115"/>
      <c r="G28" s="115"/>
      <c r="H28" s="115"/>
      <c r="I28" s="118" t="s">
        <v>40</v>
      </c>
      <c r="J28" s="119"/>
      <c r="K28" s="42"/>
    </row>
    <row r="29" spans="1:11" ht="15" customHeight="1" x14ac:dyDescent="0.25">
      <c r="A29" s="42"/>
      <c r="B29" s="42"/>
      <c r="C29" s="42"/>
      <c r="D29" s="42"/>
      <c r="E29" s="115"/>
      <c r="F29" s="115"/>
      <c r="G29" s="115"/>
      <c r="H29" s="115"/>
      <c r="I29" s="118"/>
      <c r="J29" s="119"/>
      <c r="K29" s="42"/>
    </row>
    <row r="30" spans="1:11" ht="15" customHeight="1" x14ac:dyDescent="0.25">
      <c r="A30" s="39"/>
      <c r="B30" s="39"/>
      <c r="C30" s="39"/>
      <c r="D30" s="39"/>
      <c r="E30" s="39"/>
      <c r="F30" s="41"/>
      <c r="G30" s="41"/>
      <c r="H30" s="41"/>
      <c r="I30" s="41"/>
      <c r="J30" s="41"/>
      <c r="K30" s="41"/>
    </row>
    <row r="31" spans="1:11" ht="21.6" customHeight="1" x14ac:dyDescent="0.25"/>
    <row r="32" spans="1:11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21.6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</sheetData>
  <mergeCells count="21">
    <mergeCell ref="G22:I23"/>
    <mergeCell ref="E26:H27"/>
    <mergeCell ref="E28:H29"/>
    <mergeCell ref="I26:J27"/>
    <mergeCell ref="I28:J29"/>
    <mergeCell ref="C22:E23"/>
    <mergeCell ref="C16:E17"/>
    <mergeCell ref="G16:I17"/>
    <mergeCell ref="C18:E19"/>
    <mergeCell ref="G18:I19"/>
    <mergeCell ref="C20:E21"/>
    <mergeCell ref="G20:I21"/>
    <mergeCell ref="B15:J15"/>
    <mergeCell ref="A1:K3"/>
    <mergeCell ref="A4:K5"/>
    <mergeCell ref="E12:J13"/>
    <mergeCell ref="E7:J8"/>
    <mergeCell ref="E9:G10"/>
    <mergeCell ref="H9:J10"/>
    <mergeCell ref="E11:G11"/>
    <mergeCell ref="H11:J11"/>
  </mergeCells>
  <hyperlinks>
    <hyperlink ref="E12" r:id="rId1"/>
  </hyperlinks>
  <printOptions horizontalCentered="1" verticalCentered="1"/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Statistics</vt:lpstr>
      <vt:lpstr>Updated Infographic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2023-02-01T12:10:36Z</dcterms:modified>
</cp:coreProperties>
</file>